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" windowWidth="13800" windowHeight="10995" tabRatio="835"/>
  </bookViews>
  <sheets>
    <sheet name="Fig 7.3" sheetId="14" r:id="rId1"/>
    <sheet name="Fig 7.4 - M1" sheetId="1" r:id="rId2"/>
    <sheet name="Fig 7.5 - M1 " sheetId="25" r:id="rId3"/>
    <sheet name="Fig 7.6" sheetId="6" r:id="rId4"/>
    <sheet name="Fig 7.7 DataSens-licensing" sheetId="7" r:id="rId5"/>
    <sheet name="Fig 7.8-Tornado-Directsales" sheetId="21" r:id="rId6"/>
    <sheet name="Fig 7.9-Tornado-Licensing" sheetId="23" r:id="rId7"/>
  </sheets>
  <calcPr calcId="125725"/>
</workbook>
</file>

<file path=xl/calcChain.xml><?xml version="1.0" encoding="utf-8"?>
<calcChain xmlns="http://schemas.openxmlformats.org/spreadsheetml/2006/main">
  <c r="Q92" i="25"/>
  <c r="P92"/>
  <c r="O92"/>
  <c r="N92"/>
  <c r="M92"/>
  <c r="L92"/>
  <c r="K92"/>
  <c r="J92"/>
  <c r="I92"/>
  <c r="H92"/>
  <c r="G92"/>
  <c r="F92"/>
  <c r="E92"/>
  <c r="D92"/>
  <c r="C78"/>
  <c r="C92" s="1"/>
  <c r="C58"/>
  <c r="D52"/>
  <c r="E52" s="1"/>
  <c r="F52" s="1"/>
  <c r="G52" s="1"/>
  <c r="H52" s="1"/>
  <c r="I52" s="1"/>
  <c r="J52" s="1"/>
  <c r="K52" s="1"/>
  <c r="L52" s="1"/>
  <c r="M52" s="1"/>
  <c r="N52" s="1"/>
  <c r="O52" s="1"/>
  <c r="P52" s="1"/>
  <c r="Q52" s="1"/>
  <c r="C52"/>
  <c r="C51"/>
  <c r="D51" s="1"/>
  <c r="E51" s="1"/>
  <c r="F51" s="1"/>
  <c r="G51" s="1"/>
  <c r="H51" s="1"/>
  <c r="I51" s="1"/>
  <c r="J51" s="1"/>
  <c r="K51" s="1"/>
  <c r="L51" s="1"/>
  <c r="M51" s="1"/>
  <c r="N51" s="1"/>
  <c r="O51" s="1"/>
  <c r="P51" s="1"/>
  <c r="Q51" s="1"/>
  <c r="D50"/>
  <c r="D53" s="1"/>
  <c r="C50"/>
  <c r="C53" s="1"/>
  <c r="C47"/>
  <c r="C79" s="1"/>
  <c r="C25"/>
  <c r="C91" l="1"/>
  <c r="C85"/>
  <c r="C59"/>
  <c r="D47"/>
  <c r="E50"/>
  <c r="C55"/>
  <c r="C57" s="1"/>
  <c r="D59" l="1"/>
  <c r="D79"/>
  <c r="D55"/>
  <c r="D57" s="1"/>
  <c r="D58" s="1"/>
  <c r="E47"/>
  <c r="E53"/>
  <c r="F50"/>
  <c r="C61"/>
  <c r="C63"/>
  <c r="C69" s="1"/>
  <c r="C25" i="1"/>
  <c r="C47"/>
  <c r="C59" s="1"/>
  <c r="C78"/>
  <c r="C92" s="1"/>
  <c r="D47"/>
  <c r="D59" s="1"/>
  <c r="C50"/>
  <c r="D50" s="1"/>
  <c r="C51"/>
  <c r="D51" s="1"/>
  <c r="E51" s="1"/>
  <c r="F51" s="1"/>
  <c r="G51" s="1"/>
  <c r="H51" s="1"/>
  <c r="I51" s="1"/>
  <c r="J51" s="1"/>
  <c r="K51" s="1"/>
  <c r="L51" s="1"/>
  <c r="M51" s="1"/>
  <c r="N51" s="1"/>
  <c r="O51" s="1"/>
  <c r="P51" s="1"/>
  <c r="Q51" s="1"/>
  <c r="C52"/>
  <c r="D52" s="1"/>
  <c r="E52" s="1"/>
  <c r="F52" s="1"/>
  <c r="G52" s="1"/>
  <c r="H52" s="1"/>
  <c r="I52" s="1"/>
  <c r="J52" s="1"/>
  <c r="K52" s="1"/>
  <c r="L52" s="1"/>
  <c r="M52" s="1"/>
  <c r="N52" s="1"/>
  <c r="O52" s="1"/>
  <c r="P52" s="1"/>
  <c r="Q52" s="1"/>
  <c r="E47"/>
  <c r="E59" s="1"/>
  <c r="C58"/>
  <c r="D92"/>
  <c r="E92"/>
  <c r="F92"/>
  <c r="G92"/>
  <c r="H92"/>
  <c r="I92"/>
  <c r="J92"/>
  <c r="K92"/>
  <c r="L92"/>
  <c r="M92"/>
  <c r="N92"/>
  <c r="O92"/>
  <c r="P92"/>
  <c r="Q92"/>
  <c r="C73" i="25" l="1"/>
  <c r="C67"/>
  <c r="C74"/>
  <c r="C68"/>
  <c r="D61"/>
  <c r="F53"/>
  <c r="G50"/>
  <c r="E79"/>
  <c r="E55"/>
  <c r="E57" s="1"/>
  <c r="E58" s="1"/>
  <c r="F47"/>
  <c r="E59"/>
  <c r="E61" s="1"/>
  <c r="D91"/>
  <c r="D85"/>
  <c r="C55" i="1"/>
  <c r="D55"/>
  <c r="E55" s="1"/>
  <c r="C79"/>
  <c r="D79"/>
  <c r="D91" s="1"/>
  <c r="E79"/>
  <c r="C53"/>
  <c r="F47"/>
  <c r="F59" s="1"/>
  <c r="E50"/>
  <c r="D53"/>
  <c r="C63"/>
  <c r="C69" s="1"/>
  <c r="C61"/>
  <c r="C57"/>
  <c r="F59" i="25" l="1"/>
  <c r="F79"/>
  <c r="F55"/>
  <c r="F57" s="1"/>
  <c r="F58" s="1"/>
  <c r="G47"/>
  <c r="E91"/>
  <c r="E85"/>
  <c r="E73"/>
  <c r="E67"/>
  <c r="E74"/>
  <c r="E68"/>
  <c r="G53"/>
  <c r="H50"/>
  <c r="D74"/>
  <c r="D68"/>
  <c r="D73"/>
  <c r="D75" s="1"/>
  <c r="D83" s="1"/>
  <c r="D67"/>
  <c r="D62"/>
  <c r="C75"/>
  <c r="C83" s="1"/>
  <c r="C70"/>
  <c r="C82" s="1"/>
  <c r="F55" i="1"/>
  <c r="F79"/>
  <c r="D57"/>
  <c r="D58" s="1"/>
  <c r="D61" s="1"/>
  <c r="D85"/>
  <c r="C67"/>
  <c r="C68"/>
  <c r="E85"/>
  <c r="E91"/>
  <c r="G47"/>
  <c r="C74"/>
  <c r="C73"/>
  <c r="F50"/>
  <c r="F57" s="1"/>
  <c r="E53"/>
  <c r="E57"/>
  <c r="C91"/>
  <c r="C85"/>
  <c r="H53" i="25" l="1"/>
  <c r="I50"/>
  <c r="D63"/>
  <c r="D69" s="1"/>
  <c r="E62"/>
  <c r="C84"/>
  <c r="E75"/>
  <c r="E83" s="1"/>
  <c r="F61"/>
  <c r="G79"/>
  <c r="G55"/>
  <c r="G57" s="1"/>
  <c r="G58" s="1"/>
  <c r="H47"/>
  <c r="G59"/>
  <c r="G61" s="1"/>
  <c r="F91"/>
  <c r="F85"/>
  <c r="D70"/>
  <c r="D82" s="1"/>
  <c r="D84" s="1"/>
  <c r="G59" i="1"/>
  <c r="G79"/>
  <c r="G55"/>
  <c r="E58"/>
  <c r="E61" s="1"/>
  <c r="E68" s="1"/>
  <c r="D67"/>
  <c r="D68"/>
  <c r="H47"/>
  <c r="C75"/>
  <c r="C83" s="1"/>
  <c r="F85"/>
  <c r="F91"/>
  <c r="D73"/>
  <c r="D62"/>
  <c r="D74"/>
  <c r="G50"/>
  <c r="F53"/>
  <c r="F58"/>
  <c r="F61" s="1"/>
  <c r="C70"/>
  <c r="C82" s="1"/>
  <c r="D86" i="25" l="1"/>
  <c r="D87"/>
  <c r="D90" s="1"/>
  <c r="D93" s="1"/>
  <c r="H59"/>
  <c r="H79"/>
  <c r="H55"/>
  <c r="H57" s="1"/>
  <c r="H58" s="1"/>
  <c r="I47"/>
  <c r="G73"/>
  <c r="G67"/>
  <c r="G74"/>
  <c r="G68"/>
  <c r="F74"/>
  <c r="F68"/>
  <c r="F73"/>
  <c r="F75" s="1"/>
  <c r="F83" s="1"/>
  <c r="F67"/>
  <c r="C86"/>
  <c r="C87" s="1"/>
  <c r="C90" s="1"/>
  <c r="C93" s="1"/>
  <c r="G91"/>
  <c r="G85"/>
  <c r="E63"/>
  <c r="E69" s="1"/>
  <c r="E70" s="1"/>
  <c r="E82" s="1"/>
  <c r="E84" s="1"/>
  <c r="F62"/>
  <c r="I53"/>
  <c r="J50"/>
  <c r="H59" i="1"/>
  <c r="H55"/>
  <c r="H79"/>
  <c r="E73"/>
  <c r="E67"/>
  <c r="E74"/>
  <c r="C84"/>
  <c r="F67"/>
  <c r="F68"/>
  <c r="G85"/>
  <c r="G91"/>
  <c r="I47"/>
  <c r="F74"/>
  <c r="F73"/>
  <c r="D63"/>
  <c r="D69" s="1"/>
  <c r="D70" s="1"/>
  <c r="D82" s="1"/>
  <c r="E62"/>
  <c r="C86"/>
  <c r="C87" s="1"/>
  <c r="C90" s="1"/>
  <c r="C93" s="1"/>
  <c r="E75"/>
  <c r="E83" s="1"/>
  <c r="D75"/>
  <c r="D83" s="1"/>
  <c r="H50"/>
  <c r="G53"/>
  <c r="G57"/>
  <c r="G58" s="1"/>
  <c r="G61" s="1"/>
  <c r="J53" i="25" l="1"/>
  <c r="K50"/>
  <c r="E87"/>
  <c r="E90" s="1"/>
  <c r="E93" s="1"/>
  <c r="E86"/>
  <c r="G75"/>
  <c r="G83" s="1"/>
  <c r="H61"/>
  <c r="F63"/>
  <c r="F69" s="1"/>
  <c r="G62"/>
  <c r="I79"/>
  <c r="I55"/>
  <c r="I57" s="1"/>
  <c r="I58" s="1"/>
  <c r="J47"/>
  <c r="I59"/>
  <c r="I61" s="1"/>
  <c r="H91"/>
  <c r="H85"/>
  <c r="F70"/>
  <c r="F82" s="1"/>
  <c r="F84" s="1"/>
  <c r="I59" i="1"/>
  <c r="I55"/>
  <c r="I79"/>
  <c r="G68"/>
  <c r="G67"/>
  <c r="J47"/>
  <c r="H91"/>
  <c r="H85"/>
  <c r="F75"/>
  <c r="F83" s="1"/>
  <c r="G73"/>
  <c r="G74"/>
  <c r="I50"/>
  <c r="H53"/>
  <c r="H57"/>
  <c r="H58" s="1"/>
  <c r="H61" s="1"/>
  <c r="E63"/>
  <c r="E69" s="1"/>
  <c r="E70" s="1"/>
  <c r="E82" s="1"/>
  <c r="E84" s="1"/>
  <c r="F62"/>
  <c r="D84"/>
  <c r="F86" i="25" l="1"/>
  <c r="F87"/>
  <c r="F90" s="1"/>
  <c r="F93" s="1"/>
  <c r="I73"/>
  <c r="I67"/>
  <c r="I74"/>
  <c r="I68"/>
  <c r="G63"/>
  <c r="G69" s="1"/>
  <c r="G70" s="1"/>
  <c r="G82" s="1"/>
  <c r="G84" s="1"/>
  <c r="H62"/>
  <c r="H74"/>
  <c r="H68"/>
  <c r="H73"/>
  <c r="H75" s="1"/>
  <c r="H83" s="1"/>
  <c r="H67"/>
  <c r="K53"/>
  <c r="L50"/>
  <c r="J59"/>
  <c r="J79"/>
  <c r="J55"/>
  <c r="J57" s="1"/>
  <c r="J58" s="1"/>
  <c r="K47"/>
  <c r="I91"/>
  <c r="I85"/>
  <c r="J59" i="1"/>
  <c r="J79"/>
  <c r="J55"/>
  <c r="H67"/>
  <c r="H68"/>
  <c r="I91"/>
  <c r="I85"/>
  <c r="K47"/>
  <c r="G75"/>
  <c r="G83" s="1"/>
  <c r="F63"/>
  <c r="F69" s="1"/>
  <c r="F70" s="1"/>
  <c r="F82" s="1"/>
  <c r="F84" s="1"/>
  <c r="G62"/>
  <c r="I53"/>
  <c r="J50"/>
  <c r="I57"/>
  <c r="I58" s="1"/>
  <c r="I61" s="1"/>
  <c r="H73"/>
  <c r="H74"/>
  <c r="D86"/>
  <c r="D87" s="1"/>
  <c r="D90" s="1"/>
  <c r="D93" s="1"/>
  <c r="E86"/>
  <c r="E87" s="1"/>
  <c r="E90" s="1"/>
  <c r="E93" s="1"/>
  <c r="K79" i="25" l="1"/>
  <c r="K55"/>
  <c r="K57" s="1"/>
  <c r="K58" s="1"/>
  <c r="L47"/>
  <c r="K59"/>
  <c r="K61" s="1"/>
  <c r="J91"/>
  <c r="J85"/>
  <c r="L53"/>
  <c r="M50"/>
  <c r="H63"/>
  <c r="H69" s="1"/>
  <c r="I62"/>
  <c r="H70"/>
  <c r="H82" s="1"/>
  <c r="H84" s="1"/>
  <c r="G86"/>
  <c r="G87" s="1"/>
  <c r="G90" s="1"/>
  <c r="G93" s="1"/>
  <c r="J61"/>
  <c r="I75"/>
  <c r="I83" s="1"/>
  <c r="K59" i="1"/>
  <c r="K79"/>
  <c r="K55"/>
  <c r="I68"/>
  <c r="I67"/>
  <c r="L47"/>
  <c r="J85"/>
  <c r="J91"/>
  <c r="H75"/>
  <c r="H83" s="1"/>
  <c r="I73"/>
  <c r="I74"/>
  <c r="F86"/>
  <c r="F87" s="1"/>
  <c r="F90" s="1"/>
  <c r="F93" s="1"/>
  <c r="K50"/>
  <c r="J53"/>
  <c r="J57"/>
  <c r="J58" s="1"/>
  <c r="J61" s="1"/>
  <c r="G63"/>
  <c r="G69" s="1"/>
  <c r="G70" s="1"/>
  <c r="G82" s="1"/>
  <c r="G84" s="1"/>
  <c r="H62"/>
  <c r="I63" i="25" l="1"/>
  <c r="I69" s="1"/>
  <c r="I70" s="1"/>
  <c r="I82" s="1"/>
  <c r="I84" s="1"/>
  <c r="J62"/>
  <c r="M53"/>
  <c r="N50"/>
  <c r="K73"/>
  <c r="K67"/>
  <c r="K74"/>
  <c r="K68"/>
  <c r="J74"/>
  <c r="J68"/>
  <c r="J73"/>
  <c r="J75" s="1"/>
  <c r="J83" s="1"/>
  <c r="J67"/>
  <c r="H86"/>
  <c r="H87"/>
  <c r="H90" s="1"/>
  <c r="H93" s="1"/>
  <c r="L59"/>
  <c r="L79"/>
  <c r="L55"/>
  <c r="L57" s="1"/>
  <c r="L58" s="1"/>
  <c r="M47"/>
  <c r="K91"/>
  <c r="K85"/>
  <c r="L59" i="1"/>
  <c r="L55"/>
  <c r="L79"/>
  <c r="J67"/>
  <c r="J68"/>
  <c r="K85"/>
  <c r="K91"/>
  <c r="M47"/>
  <c r="I75"/>
  <c r="I83" s="1"/>
  <c r="J73"/>
  <c r="J74"/>
  <c r="K53"/>
  <c r="L50"/>
  <c r="K57"/>
  <c r="K58" s="1"/>
  <c r="K61" s="1"/>
  <c r="G86"/>
  <c r="G87" s="1"/>
  <c r="G90" s="1"/>
  <c r="G93" s="1"/>
  <c r="H63"/>
  <c r="H69" s="1"/>
  <c r="H70" s="1"/>
  <c r="H82" s="1"/>
  <c r="H84" s="1"/>
  <c r="I62"/>
  <c r="L91" i="25" l="1"/>
  <c r="L85"/>
  <c r="I86"/>
  <c r="I87" s="1"/>
  <c r="I90" s="1"/>
  <c r="I93" s="1"/>
  <c r="L61"/>
  <c r="K75"/>
  <c r="K83" s="1"/>
  <c r="M79"/>
  <c r="M55"/>
  <c r="M57" s="1"/>
  <c r="M58" s="1"/>
  <c r="N47"/>
  <c r="M59"/>
  <c r="M61" s="1"/>
  <c r="N53"/>
  <c r="O50"/>
  <c r="J63"/>
  <c r="J69" s="1"/>
  <c r="K62"/>
  <c r="J70"/>
  <c r="J82" s="1"/>
  <c r="J84" s="1"/>
  <c r="M79" i="1"/>
  <c r="M59"/>
  <c r="M55"/>
  <c r="K68"/>
  <c r="K67"/>
  <c r="L85"/>
  <c r="L91"/>
  <c r="N47"/>
  <c r="H86"/>
  <c r="H87" s="1"/>
  <c r="H90" s="1"/>
  <c r="H93" s="1"/>
  <c r="M50"/>
  <c r="L53"/>
  <c r="L57"/>
  <c r="L58" s="1"/>
  <c r="L61" s="1"/>
  <c r="I63"/>
  <c r="I69" s="1"/>
  <c r="I70" s="1"/>
  <c r="I82" s="1"/>
  <c r="I84" s="1"/>
  <c r="J62"/>
  <c r="K73"/>
  <c r="K74"/>
  <c r="J75"/>
  <c r="J83" s="1"/>
  <c r="K63" i="25" l="1"/>
  <c r="K69" s="1"/>
  <c r="K70" s="1"/>
  <c r="K82" s="1"/>
  <c r="K84" s="1"/>
  <c r="L62"/>
  <c r="O53"/>
  <c r="P50"/>
  <c r="J86"/>
  <c r="J87"/>
  <c r="J90" s="1"/>
  <c r="J93" s="1"/>
  <c r="N59"/>
  <c r="N79"/>
  <c r="N55"/>
  <c r="N57" s="1"/>
  <c r="N58" s="1"/>
  <c r="O47"/>
  <c r="M91"/>
  <c r="M85"/>
  <c r="L74"/>
  <c r="L68"/>
  <c r="L73"/>
  <c r="L75" s="1"/>
  <c r="L83" s="1"/>
  <c r="L67"/>
  <c r="M73"/>
  <c r="M67"/>
  <c r="M74"/>
  <c r="M68"/>
  <c r="N59" i="1"/>
  <c r="N79"/>
  <c r="N55"/>
  <c r="L67"/>
  <c r="L68"/>
  <c r="M85"/>
  <c r="M91"/>
  <c r="O47"/>
  <c r="K75"/>
  <c r="K83" s="1"/>
  <c r="J63"/>
  <c r="J69" s="1"/>
  <c r="J70" s="1"/>
  <c r="J82" s="1"/>
  <c r="J84" s="1"/>
  <c r="K62"/>
  <c r="L74"/>
  <c r="L73"/>
  <c r="N50"/>
  <c r="M53"/>
  <c r="M57"/>
  <c r="M58" s="1"/>
  <c r="M61" s="1"/>
  <c r="I86"/>
  <c r="I87" s="1"/>
  <c r="I90" s="1"/>
  <c r="I93" s="1"/>
  <c r="K86" i="25" l="1"/>
  <c r="K87" s="1"/>
  <c r="K90" s="1"/>
  <c r="K93" s="1"/>
  <c r="M75"/>
  <c r="M83" s="1"/>
  <c r="N61"/>
  <c r="O79"/>
  <c r="O55"/>
  <c r="O57" s="1"/>
  <c r="O58" s="1"/>
  <c r="P47"/>
  <c r="O59"/>
  <c r="O61" s="1"/>
  <c r="N91"/>
  <c r="N85"/>
  <c r="P53"/>
  <c r="Q50"/>
  <c r="Q53" s="1"/>
  <c r="L63"/>
  <c r="L69" s="1"/>
  <c r="L70" s="1"/>
  <c r="L82" s="1"/>
  <c r="L84" s="1"/>
  <c r="M62"/>
  <c r="O79" i="1"/>
  <c r="O59"/>
  <c r="O55"/>
  <c r="M68"/>
  <c r="M67"/>
  <c r="P47"/>
  <c r="N85"/>
  <c r="N91"/>
  <c r="L75"/>
  <c r="L83" s="1"/>
  <c r="L62"/>
  <c r="K63"/>
  <c r="K69" s="1"/>
  <c r="K70" s="1"/>
  <c r="K82" s="1"/>
  <c r="K84" s="1"/>
  <c r="M73"/>
  <c r="M74"/>
  <c r="N53"/>
  <c r="O50"/>
  <c r="N57"/>
  <c r="N58" s="1"/>
  <c r="N61" s="1"/>
  <c r="J86"/>
  <c r="J87" s="1"/>
  <c r="J90" s="1"/>
  <c r="J93" s="1"/>
  <c r="L86" i="25" l="1"/>
  <c r="L87"/>
  <c r="L90" s="1"/>
  <c r="L93" s="1"/>
  <c r="P59"/>
  <c r="P79"/>
  <c r="P55"/>
  <c r="P57" s="1"/>
  <c r="P58" s="1"/>
  <c r="Q47"/>
  <c r="M63"/>
  <c r="M69" s="1"/>
  <c r="M70" s="1"/>
  <c r="M82" s="1"/>
  <c r="M84" s="1"/>
  <c r="N62"/>
  <c r="O73"/>
  <c r="O67"/>
  <c r="O74"/>
  <c r="O68"/>
  <c r="N74"/>
  <c r="N68"/>
  <c r="N73"/>
  <c r="N75" s="1"/>
  <c r="N83" s="1"/>
  <c r="N67"/>
  <c r="O91"/>
  <c r="O85"/>
  <c r="P59" i="1"/>
  <c r="P79"/>
  <c r="P55"/>
  <c r="N67"/>
  <c r="N68"/>
  <c r="O91"/>
  <c r="O85"/>
  <c r="Q47"/>
  <c r="M75"/>
  <c r="M83" s="1"/>
  <c r="N74"/>
  <c r="N73"/>
  <c r="P50"/>
  <c r="O53"/>
  <c r="O57"/>
  <c r="O58" s="1"/>
  <c r="O61" s="1"/>
  <c r="L63"/>
  <c r="L69" s="1"/>
  <c r="L70" s="1"/>
  <c r="L82" s="1"/>
  <c r="L84" s="1"/>
  <c r="M62"/>
  <c r="K86"/>
  <c r="K87" s="1"/>
  <c r="K90" s="1"/>
  <c r="K93" s="1"/>
  <c r="M86" i="25" l="1"/>
  <c r="M87" s="1"/>
  <c r="M90" s="1"/>
  <c r="M93" s="1"/>
  <c r="O75"/>
  <c r="O83" s="1"/>
  <c r="P61"/>
  <c r="N63"/>
  <c r="N69" s="1"/>
  <c r="O62"/>
  <c r="Q79"/>
  <c r="Q55"/>
  <c r="Q57" s="1"/>
  <c r="Q58" s="1"/>
  <c r="Q59"/>
  <c r="P91"/>
  <c r="P85"/>
  <c r="N70"/>
  <c r="N82" s="1"/>
  <c r="N84" s="1"/>
  <c r="Q79" i="1"/>
  <c r="Q59"/>
  <c r="Q55"/>
  <c r="O68"/>
  <c r="O67"/>
  <c r="N75"/>
  <c r="N83" s="1"/>
  <c r="P91"/>
  <c r="P85"/>
  <c r="L86"/>
  <c r="L87" s="1"/>
  <c r="L90" s="1"/>
  <c r="L93" s="1"/>
  <c r="M63"/>
  <c r="M69" s="1"/>
  <c r="M70" s="1"/>
  <c r="M82" s="1"/>
  <c r="M84" s="1"/>
  <c r="N62"/>
  <c r="O73"/>
  <c r="O74"/>
  <c r="Q50"/>
  <c r="P53"/>
  <c r="P57"/>
  <c r="P58" s="1"/>
  <c r="P61" s="1"/>
  <c r="O63" i="25" l="1"/>
  <c r="O69" s="1"/>
  <c r="O70" s="1"/>
  <c r="O82" s="1"/>
  <c r="O84" s="1"/>
  <c r="P62"/>
  <c r="P74"/>
  <c r="P68"/>
  <c r="P73"/>
  <c r="P75" s="1"/>
  <c r="P83" s="1"/>
  <c r="P67"/>
  <c r="Q91"/>
  <c r="Q85"/>
  <c r="Q61"/>
  <c r="N86"/>
  <c r="N87" s="1"/>
  <c r="N90" s="1"/>
  <c r="N93" s="1"/>
  <c r="P67" i="1"/>
  <c r="P68"/>
  <c r="Q85"/>
  <c r="Q91"/>
  <c r="N63"/>
  <c r="N69" s="1"/>
  <c r="N70" s="1"/>
  <c r="N82" s="1"/>
  <c r="N84" s="1"/>
  <c r="O62"/>
  <c r="P74"/>
  <c r="P73"/>
  <c r="Q53"/>
  <c r="Q57"/>
  <c r="Q58" s="1"/>
  <c r="Q61" s="1"/>
  <c r="M86"/>
  <c r="M87" s="1"/>
  <c r="M90" s="1"/>
  <c r="M93" s="1"/>
  <c r="O75"/>
  <c r="O83" s="1"/>
  <c r="P63" i="25" l="1"/>
  <c r="P69" s="1"/>
  <c r="Q62"/>
  <c r="Q63" s="1"/>
  <c r="Q69" s="1"/>
  <c r="Q73"/>
  <c r="Q67"/>
  <c r="Q74"/>
  <c r="Q68"/>
  <c r="O86"/>
  <c r="O87" s="1"/>
  <c r="O90" s="1"/>
  <c r="O93" s="1"/>
  <c r="P70"/>
  <c r="P82" s="1"/>
  <c r="P84" s="1"/>
  <c r="Q68" i="1"/>
  <c r="Q67"/>
  <c r="N86"/>
  <c r="N87" s="1"/>
  <c r="N90" s="1"/>
  <c r="N93" s="1"/>
  <c r="Q73"/>
  <c r="Q74"/>
  <c r="P62"/>
  <c r="O63"/>
  <c r="O69" s="1"/>
  <c r="O70" s="1"/>
  <c r="O82" s="1"/>
  <c r="O84" s="1"/>
  <c r="P75"/>
  <c r="P83" s="1"/>
  <c r="P86" i="25" l="1"/>
  <c r="P87"/>
  <c r="P90" s="1"/>
  <c r="P93" s="1"/>
  <c r="Q70"/>
  <c r="Q82" s="1"/>
  <c r="Q75"/>
  <c r="Q83" s="1"/>
  <c r="O86" i="1"/>
  <c r="O87" s="1"/>
  <c r="O90" s="1"/>
  <c r="O93" s="1"/>
  <c r="P63"/>
  <c r="P69" s="1"/>
  <c r="P70" s="1"/>
  <c r="P82" s="1"/>
  <c r="P84" s="1"/>
  <c r="Q62"/>
  <c r="Q63" s="1"/>
  <c r="Q69" s="1"/>
  <c r="Q75"/>
  <c r="Q83" s="1"/>
  <c r="Q70"/>
  <c r="Q82" s="1"/>
  <c r="Q84" i="25" l="1"/>
  <c r="Q84" i="1"/>
  <c r="Q86" s="1"/>
  <c r="Q87" s="1"/>
  <c r="Q90" s="1"/>
  <c r="Q93" s="1"/>
  <c r="P86"/>
  <c r="P87" s="1"/>
  <c r="P90" s="1"/>
  <c r="P93" s="1"/>
  <c r="Q86" i="25" l="1"/>
  <c r="Q87" s="1"/>
  <c r="Q90" s="1"/>
  <c r="Q93" s="1"/>
  <c r="B95" s="1"/>
  <c r="F6" s="1"/>
  <c r="B95" i="1"/>
  <c r="F6" s="1"/>
  <c r="K7" i="25" l="1"/>
  <c r="K8"/>
  <c r="K7" i="1"/>
  <c r="K8"/>
</calcChain>
</file>

<file path=xl/sharedStrings.xml><?xml version="1.0" encoding="utf-8"?>
<sst xmlns="http://schemas.openxmlformats.org/spreadsheetml/2006/main" count="222" uniqueCount="99">
  <si>
    <t>MediDevice</t>
  </si>
  <si>
    <t xml:space="preserve">Licensing (0/1)? </t>
  </si>
  <si>
    <t>Parameters</t>
  </si>
  <si>
    <t>Revenue</t>
  </si>
  <si>
    <t xml:space="preserve">Operating Cost </t>
  </si>
  <si>
    <t>Capital Expenditure</t>
  </si>
  <si>
    <t>Income Statement</t>
  </si>
  <si>
    <t>Cash Flow</t>
  </si>
  <si>
    <t>Cost</t>
  </si>
  <si>
    <t>EBITDA</t>
  </si>
  <si>
    <t>Taxes</t>
  </si>
  <si>
    <t>NIAT</t>
  </si>
  <si>
    <t>Depreciation</t>
  </si>
  <si>
    <t>CAPX</t>
  </si>
  <si>
    <t>Manufacturing plant cost</t>
  </si>
  <si>
    <t>Total cost</t>
  </si>
  <si>
    <t>COGS</t>
  </si>
  <si>
    <t>Sales force cost</t>
  </si>
  <si>
    <t>Cash flow</t>
  </si>
  <si>
    <t xml:space="preserve">   US</t>
  </si>
  <si>
    <t xml:space="preserve">   Europe</t>
  </si>
  <si>
    <t xml:space="preserve">   Japan</t>
  </si>
  <si>
    <t>Total</t>
  </si>
  <si>
    <t>Number of doctor's offices</t>
  </si>
  <si>
    <t>Potential users - total</t>
  </si>
  <si>
    <t>Potential users - new</t>
  </si>
  <si>
    <t>Market penetration</t>
  </si>
  <si>
    <t xml:space="preserve">   launch year</t>
  </si>
  <si>
    <t>First year</t>
  </si>
  <si>
    <t xml:space="preserve">   entry year</t>
  </si>
  <si>
    <t>MediDevice share</t>
  </si>
  <si>
    <t>Unit sales</t>
  </si>
  <si>
    <t>Cumulative unit sales</t>
  </si>
  <si>
    <t>Prices</t>
  </si>
  <si>
    <t xml:space="preserve">   device</t>
  </si>
  <si>
    <t xml:space="preserve">   materials</t>
  </si>
  <si>
    <t>MediDevice installed base</t>
  </si>
  <si>
    <t>Revenues</t>
  </si>
  <si>
    <t xml:space="preserve">   new devices</t>
  </si>
  <si>
    <t>Costs</t>
  </si>
  <si>
    <t xml:space="preserve">   unit manufacturing</t>
  </si>
  <si>
    <t xml:space="preserve">   sales force</t>
  </si>
  <si>
    <t>Tax rate</t>
  </si>
  <si>
    <t>Discount rate</t>
  </si>
  <si>
    <t>NPV</t>
  </si>
  <si>
    <t xml:space="preserve">   peak year - base</t>
  </si>
  <si>
    <t xml:space="preserve">      direct sales</t>
  </si>
  <si>
    <t xml:space="preserve">      licensing</t>
  </si>
  <si>
    <t xml:space="preserve">   licensing benefit</t>
  </si>
  <si>
    <t xml:space="preserve">   licensing fee</t>
  </si>
  <si>
    <t xml:space="preserve">   peak year - actual</t>
  </si>
  <si>
    <t xml:space="preserve">   US plant cost</t>
  </si>
  <si>
    <t xml:space="preserve">   ROW plant cost</t>
  </si>
  <si>
    <t xml:space="preserve">   depreciation  lifetime</t>
  </si>
  <si>
    <t>Third generation</t>
  </si>
  <si>
    <t>Second generation</t>
  </si>
  <si>
    <t xml:space="preserve">   share of installed base captured</t>
  </si>
  <si>
    <t>Decisions</t>
  </si>
  <si>
    <t>Benchmarks</t>
  </si>
  <si>
    <t>direct sales</t>
  </si>
  <si>
    <t>licensing</t>
  </si>
  <si>
    <t>NPV-direct sales</t>
  </si>
  <si>
    <t>NPV-licensing</t>
  </si>
  <si>
    <t>% changes</t>
  </si>
  <si>
    <t>DATA TABLE</t>
  </si>
  <si>
    <t>Parameter</t>
  </si>
  <si>
    <t>-10 Pct</t>
  </si>
  <si>
    <t>+10 Pct</t>
  </si>
  <si>
    <t>Range</t>
  </si>
  <si>
    <t>Base Case Result</t>
  </si>
  <si>
    <t>PARAMETER INFO</t>
  </si>
  <si>
    <t>Base Case</t>
  </si>
  <si>
    <t>% Sensitivity</t>
  </si>
  <si>
    <t>-%</t>
  </si>
  <si>
    <t>+%</t>
  </si>
  <si>
    <t>M1</t>
  </si>
  <si>
    <t xml:space="preserve">   initial level</t>
  </si>
  <si>
    <t xml:space="preserve">   peak level</t>
  </si>
  <si>
    <t>BASE</t>
  </si>
  <si>
    <t>Device Price</t>
  </si>
  <si>
    <t>US Doctors</t>
  </si>
  <si>
    <t>Tax Rate</t>
  </si>
  <si>
    <t>Unit Mfg Cost</t>
  </si>
  <si>
    <t>Materials Price</t>
  </si>
  <si>
    <t>Discount Rate</t>
  </si>
  <si>
    <t>Share of Installed Base Captured (3rd gen)</t>
  </si>
  <si>
    <t>Share of Installed Base Captured (2nd gen)</t>
  </si>
  <si>
    <t>Sales Force Cost</t>
  </si>
  <si>
    <t>US Plant Cost</t>
  </si>
  <si>
    <t>Depreciation Lifetime</t>
  </si>
  <si>
    <t>Europe Doctors</t>
  </si>
  <si>
    <t>Japan Doctors</t>
  </si>
  <si>
    <t>Initial Penetration level</t>
  </si>
  <si>
    <t>Peak Penetration Level</t>
  </si>
  <si>
    <t>ROW Plant Cost</t>
  </si>
  <si>
    <t>Licensing Fee</t>
  </si>
  <si>
    <t>Direct</t>
  </si>
  <si>
    <t>License</t>
  </si>
  <si>
    <t>Licensing Benefit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</si>
</sst>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00"/>
    <numFmt numFmtId="166" formatCode="0.0"/>
  </numFmts>
  <fonts count="7">
    <font>
      <sz val="12"/>
      <name val="Times New Roman"/>
    </font>
    <font>
      <b/>
      <sz val="12"/>
      <name val="Times New Roman"/>
      <family val="1"/>
    </font>
    <font>
      <sz val="8"/>
      <name val="Times New Roman"/>
      <family val="1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0" fontId="1" fillId="0" borderId="0" xfId="0" applyFont="1"/>
    <xf numFmtId="15" fontId="1" fillId="0" borderId="0" xfId="0" applyNumberFormat="1" applyFont="1"/>
    <xf numFmtId="0" fontId="0" fillId="0" borderId="0" xfId="0" quotePrefix="1" applyAlignment="1">
      <alignment horizontal="left"/>
    </xf>
    <xf numFmtId="9" fontId="0" fillId="0" borderId="0" xfId="0" applyNumberFormat="1"/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" fillId="0" borderId="1" xfId="0" applyFont="1" applyBorder="1"/>
    <xf numFmtId="164" fontId="0" fillId="0" borderId="2" xfId="0" applyNumberFormat="1" applyBorder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2" fontId="5" fillId="0" borderId="0" xfId="0" applyNumberFormat="1" applyFont="1"/>
    <xf numFmtId="0" fontId="5" fillId="0" borderId="0" xfId="0" applyFont="1"/>
    <xf numFmtId="165" fontId="0" fillId="0" borderId="0" xfId="0" applyNumberFormat="1"/>
    <xf numFmtId="0" fontId="6" fillId="0" borderId="0" xfId="0" applyFont="1"/>
    <xf numFmtId="0" fontId="0" fillId="0" borderId="0" xfId="0" applyNumberFormat="1"/>
    <xf numFmtId="166" fontId="0" fillId="0" borderId="0" xfId="0" applyNumberFormat="1"/>
    <xf numFmtId="1" fontId="5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plotArea>
      <c:layout>
        <c:manualLayout>
          <c:layoutTarget val="inner"/>
          <c:xMode val="edge"/>
          <c:yMode val="edge"/>
          <c:x val="0.14077692148456697"/>
          <c:y val="8.1460674157303334E-2"/>
          <c:w val="0.83657090123587552"/>
          <c:h val="0.64044943820224765"/>
        </c:manualLayout>
      </c:layout>
      <c:lineChart>
        <c:grouping val="standard"/>
        <c:ser>
          <c:idx val="0"/>
          <c:order val="0"/>
          <c:cat>
            <c:numRef>
              <c:f>'Fig 7.4 - M1'!$C$47:$Q$47</c:f>
              <c:numCache>
                <c:formatCode>General</c:formatCod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numCache>
            </c:numRef>
          </c:cat>
          <c:val>
            <c:numRef>
              <c:f>'Fig 7.4 - M1'!$C$55:$Q$55</c:f>
              <c:numCache>
                <c:formatCode>0.000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2.5000000000000001E-2</c:v>
                </c:pt>
                <c:pt idx="3">
                  <c:v>0.05</c:v>
                </c:pt>
                <c:pt idx="4">
                  <c:v>7.5000000000000011E-2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0.1</c:v>
                </c:pt>
                <c:pt idx="11">
                  <c:v>0.1</c:v>
                </c:pt>
                <c:pt idx="12">
                  <c:v>0.1</c:v>
                </c:pt>
                <c:pt idx="13">
                  <c:v>0.1</c:v>
                </c:pt>
                <c:pt idx="14">
                  <c:v>0.1</c:v>
                </c:pt>
              </c:numCache>
            </c:numRef>
          </c:val>
        </c:ser>
        <c:marker val="1"/>
        <c:axId val="304912640"/>
        <c:axId val="304317568"/>
      </c:lineChart>
      <c:catAx>
        <c:axId val="3049126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912706300062007"/>
              <c:y val="0.87640449438202261"/>
            </c:manualLayout>
          </c:layout>
        </c:title>
        <c:numFmt formatCode="General" sourceLinked="1"/>
        <c:tickLblPos val="nextTo"/>
        <c:txPr>
          <a:bodyPr rot="-2700000" vert="horz"/>
          <a:lstStyle/>
          <a:p>
            <a:pPr>
              <a:defRPr/>
            </a:pPr>
            <a:endParaRPr lang="en-US"/>
          </a:p>
        </c:txPr>
        <c:crossAx val="304317568"/>
        <c:crosses val="autoZero"/>
        <c:auto val="1"/>
        <c:lblAlgn val="ctr"/>
        <c:lblOffset val="100"/>
        <c:tickLblSkip val="1"/>
        <c:tickMarkSkip val="1"/>
      </c:catAx>
      <c:valAx>
        <c:axId val="304317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Share</a:t>
                </a:r>
              </a:p>
            </c:rich>
          </c:tx>
          <c:layout>
            <c:manualLayout>
              <c:xMode val="edge"/>
              <c:yMode val="edge"/>
              <c:x val="2.5889967637540486E-2"/>
              <c:y val="0.26404494382022481"/>
            </c:manualLayout>
          </c:layout>
        </c:title>
        <c:numFmt formatCode="0.00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04912640"/>
        <c:crosses val="autoZero"/>
        <c:crossBetween val="between"/>
      </c:valAx>
    </c:plotArea>
    <c:plotVisOnly val="1"/>
    <c:dispBlanksAs val="gap"/>
  </c:chart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5397082658022704"/>
          <c:y val="6.2770695453479033E-2"/>
          <c:w val="0.77093462992976769"/>
          <c:h val="0.72727426456444644"/>
        </c:manualLayout>
      </c:layout>
      <c:lineChart>
        <c:grouping val="standard"/>
        <c:ser>
          <c:idx val="1"/>
          <c:order val="0"/>
          <c:tx>
            <c:strRef>
              <c:f>'Fig 7.6'!$B$1</c:f>
              <c:strCache>
                <c:ptCount val="1"/>
                <c:pt idx="0">
                  <c:v>NPV-direct sales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'Fig 7.6'!$A$2:$A$17</c:f>
              <c:numCache>
                <c:formatCode>0%</c:formatCode>
                <c:ptCount val="16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</c:v>
                </c:pt>
                <c:pt idx="14">
                  <c:v>0.19</c:v>
                </c:pt>
                <c:pt idx="15">
                  <c:v>0.2</c:v>
                </c:pt>
              </c:numCache>
            </c:numRef>
          </c:cat>
          <c:val>
            <c:numRef>
              <c:f>'Fig 7.6'!$B$2:$B$17</c:f>
              <c:numCache>
                <c:formatCode>#,##0</c:formatCode>
                <c:ptCount val="16"/>
                <c:pt idx="0">
                  <c:v>75.136136290141266</c:v>
                </c:pt>
                <c:pt idx="1">
                  <c:v>98.998611333486039</c:v>
                </c:pt>
                <c:pt idx="2">
                  <c:v>122.86108637683088</c:v>
                </c:pt>
                <c:pt idx="3">
                  <c:v>146.72356142017566</c:v>
                </c:pt>
                <c:pt idx="4">
                  <c:v>170.58603646352046</c:v>
                </c:pt>
                <c:pt idx="5">
                  <c:v>194.44851150686517</c:v>
                </c:pt>
                <c:pt idx="6">
                  <c:v>218.31098655020998</c:v>
                </c:pt>
                <c:pt idx="7">
                  <c:v>242.1734615935548</c:v>
                </c:pt>
                <c:pt idx="8">
                  <c:v>266.03593663689969</c:v>
                </c:pt>
                <c:pt idx="9">
                  <c:v>289.89841168024446</c:v>
                </c:pt>
                <c:pt idx="10">
                  <c:v>313.76088672358924</c:v>
                </c:pt>
                <c:pt idx="11">
                  <c:v>337.62336176693401</c:v>
                </c:pt>
                <c:pt idx="12">
                  <c:v>361.48583681027884</c:v>
                </c:pt>
                <c:pt idx="13">
                  <c:v>385.34831185362373</c:v>
                </c:pt>
                <c:pt idx="14">
                  <c:v>409.21078689696844</c:v>
                </c:pt>
                <c:pt idx="15">
                  <c:v>433.07326194031322</c:v>
                </c:pt>
              </c:numCache>
            </c:numRef>
          </c:val>
        </c:ser>
        <c:ser>
          <c:idx val="2"/>
          <c:order val="1"/>
          <c:tx>
            <c:strRef>
              <c:f>'Fig 7.6'!$C$1</c:f>
              <c:strCache>
                <c:ptCount val="1"/>
                <c:pt idx="0">
                  <c:v>NPV-licensing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'Fig 7.6'!$A$2:$A$17</c:f>
              <c:numCache>
                <c:formatCode>0%</c:formatCode>
                <c:ptCount val="16"/>
                <c:pt idx="0">
                  <c:v>0.05</c:v>
                </c:pt>
                <c:pt idx="1">
                  <c:v>0.06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0.09</c:v>
                </c:pt>
                <c:pt idx="5">
                  <c:v>0.1</c:v>
                </c:pt>
                <c:pt idx="6">
                  <c:v>0.11</c:v>
                </c:pt>
                <c:pt idx="7">
                  <c:v>0.12</c:v>
                </c:pt>
                <c:pt idx="8">
                  <c:v>0.13</c:v>
                </c:pt>
                <c:pt idx="9">
                  <c:v>0.14000000000000001</c:v>
                </c:pt>
                <c:pt idx="10">
                  <c:v>0.15</c:v>
                </c:pt>
                <c:pt idx="11">
                  <c:v>0.16</c:v>
                </c:pt>
                <c:pt idx="12">
                  <c:v>0.17</c:v>
                </c:pt>
                <c:pt idx="13">
                  <c:v>0.18</c:v>
                </c:pt>
                <c:pt idx="14">
                  <c:v>0.19</c:v>
                </c:pt>
                <c:pt idx="15">
                  <c:v>0.2</c:v>
                </c:pt>
              </c:numCache>
            </c:numRef>
          </c:cat>
          <c:val>
            <c:numRef>
              <c:f>'Fig 7.6'!$C$2:$C$17</c:f>
              <c:numCache>
                <c:formatCode>#,##0</c:formatCode>
                <c:ptCount val="16"/>
                <c:pt idx="0">
                  <c:v>89.415753229616413</c:v>
                </c:pt>
                <c:pt idx="1">
                  <c:v>113.86565530168066</c:v>
                </c:pt>
                <c:pt idx="2">
                  <c:v>138.31555737374492</c:v>
                </c:pt>
                <c:pt idx="3">
                  <c:v>162.76545944580914</c:v>
                </c:pt>
                <c:pt idx="4">
                  <c:v>187.21536151787336</c:v>
                </c:pt>
                <c:pt idx="5">
                  <c:v>211.66526358993758</c:v>
                </c:pt>
                <c:pt idx="6">
                  <c:v>236.1151656620018</c:v>
                </c:pt>
                <c:pt idx="7">
                  <c:v>260.56506773406596</c:v>
                </c:pt>
                <c:pt idx="8">
                  <c:v>285.01496980613024</c:v>
                </c:pt>
                <c:pt idx="9">
                  <c:v>309.46487187819451</c:v>
                </c:pt>
                <c:pt idx="10">
                  <c:v>333.91477395025885</c:v>
                </c:pt>
                <c:pt idx="11">
                  <c:v>358.36467602232312</c:v>
                </c:pt>
                <c:pt idx="12">
                  <c:v>382.81457809438717</c:v>
                </c:pt>
                <c:pt idx="13">
                  <c:v>407.26448016645151</c:v>
                </c:pt>
                <c:pt idx="14">
                  <c:v>431.71438223851578</c:v>
                </c:pt>
                <c:pt idx="15">
                  <c:v>456.16428431057994</c:v>
                </c:pt>
              </c:numCache>
            </c:numRef>
          </c:val>
        </c:ser>
        <c:marker val="1"/>
        <c:axId val="304681344"/>
        <c:axId val="304683648"/>
      </c:lineChart>
      <c:catAx>
        <c:axId val="30468134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Peak penetration level</a:t>
                </a:r>
              </a:p>
            </c:rich>
          </c:tx>
          <c:layout>
            <c:manualLayout>
              <c:xMode val="edge"/>
              <c:yMode val="edge"/>
              <c:x val="0.32252836304700244"/>
              <c:y val="0.90476372271647854"/>
            </c:manualLayout>
          </c:layout>
          <c:spPr>
            <a:noFill/>
            <a:ln w="25400">
              <a:noFill/>
            </a:ln>
          </c:spPr>
        </c:title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4683648"/>
        <c:crosses val="autoZero"/>
        <c:auto val="1"/>
        <c:lblAlgn val="ctr"/>
        <c:lblOffset val="100"/>
        <c:tickLblSkip val="2"/>
        <c:tickMarkSkip val="1"/>
      </c:catAx>
      <c:valAx>
        <c:axId val="3046836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US"/>
                  <a:t>NPV</a:t>
                </a:r>
              </a:p>
            </c:rich>
          </c:tx>
          <c:layout>
            <c:manualLayout>
              <c:xMode val="edge"/>
              <c:yMode val="edge"/>
              <c:x val="2.5931928687196158E-2"/>
              <c:y val="0.38744679642317431"/>
            </c:manualLayout>
          </c:layout>
          <c:spPr>
            <a:noFill/>
            <a:ln w="25400">
              <a:noFill/>
            </a:ln>
          </c:spPr>
        </c:title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04681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099945975148621"/>
          <c:y val="0.6457438274761117"/>
          <c:w val="0.23662884927066452"/>
          <c:h val="0.106060833304927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15476220463286824"/>
          <c:y val="8.2539938429868648E-2"/>
          <c:w val="0.80754124725099063"/>
          <c:h val="0.69841486363735006"/>
        </c:manualLayout>
      </c:layout>
      <c:scatterChart>
        <c:scatterStyle val="lineMarker"/>
        <c:ser>
          <c:idx val="0"/>
          <c:order val="0"/>
          <c:tx>
            <c:strRef>
              <c:f>'Fig 7.7 DataSens-licensing'!$C$1</c:f>
              <c:strCache>
                <c:ptCount val="1"/>
                <c:pt idx="0">
                  <c:v>License</c:v>
                </c:pt>
              </c:strCache>
            </c:strRef>
          </c:tx>
          <c:xVal>
            <c:numRef>
              <c:f>'Fig 7.7 DataSens-licensing'!$A$2:$A$7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'Fig 7.7 DataSens-licensing'!$C$2:$C$7</c:f>
              <c:numCache>
                <c:formatCode>#,##0</c:formatCode>
                <c:ptCount val="6"/>
                <c:pt idx="0">
                  <c:v>183.24730902896005</c:v>
                </c:pt>
                <c:pt idx="1">
                  <c:v>211.66526358993758</c:v>
                </c:pt>
                <c:pt idx="2">
                  <c:v>241.90090323203856</c:v>
                </c:pt>
                <c:pt idx="3">
                  <c:v>274.08722930266214</c:v>
                </c:pt>
                <c:pt idx="4">
                  <c:v>344.89714665803405</c:v>
                </c:pt>
                <c:pt idx="5">
                  <c:v>344.89714665803405</c:v>
                </c:pt>
              </c:numCache>
            </c:numRef>
          </c:yVal>
        </c:ser>
        <c:ser>
          <c:idx val="1"/>
          <c:order val="1"/>
          <c:tx>
            <c:strRef>
              <c:f>'Fig 7.7 DataSens-licensing'!$B$1</c:f>
              <c:strCache>
                <c:ptCount val="1"/>
                <c:pt idx="0">
                  <c:v>Direct</c:v>
                </c:pt>
              </c:strCache>
            </c:strRef>
          </c:tx>
          <c:xVal>
            <c:numRef>
              <c:f>'Fig 7.7 DataSens-licensing'!$A$2:$A$7</c:f>
              <c:numCache>
                <c:formatCode>0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'Fig 7.7 DataSens-licensing'!$B$2:$B$7</c:f>
              <c:numCache>
                <c:formatCode>0</c:formatCode>
                <c:ptCount val="6"/>
                <c:pt idx="0">
                  <c:v>194</c:v>
                </c:pt>
                <c:pt idx="1">
                  <c:v>194</c:v>
                </c:pt>
                <c:pt idx="2">
                  <c:v>194</c:v>
                </c:pt>
                <c:pt idx="3">
                  <c:v>194</c:v>
                </c:pt>
                <c:pt idx="4">
                  <c:v>194</c:v>
                </c:pt>
                <c:pt idx="5">
                  <c:v>194</c:v>
                </c:pt>
              </c:numCache>
            </c:numRef>
          </c:yVal>
        </c:ser>
        <c:axId val="304704896"/>
        <c:axId val="304707072"/>
      </c:scatterChart>
      <c:valAx>
        <c:axId val="304704896"/>
        <c:scaling>
          <c:orientation val="minMax"/>
          <c:max val="5"/>
          <c:min val="0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Licensing</a:t>
                </a:r>
                <a:r>
                  <a:rPr lang="en-US" baseline="0"/>
                  <a:t> Benefit (Yrs)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5039765862600478"/>
              <c:y val="0.87936774569845433"/>
            </c:manualLayout>
          </c:layout>
        </c:title>
        <c:numFmt formatCode="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04707072"/>
        <c:crossesAt val="134.45968288988638"/>
        <c:crossBetween val="midCat"/>
      </c:valAx>
      <c:valAx>
        <c:axId val="304707072"/>
        <c:scaling>
          <c:orientation val="minMax"/>
          <c:min val="134.45968288988638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NPV</a:t>
                </a:r>
              </a:p>
            </c:rich>
          </c:tx>
          <c:layout>
            <c:manualLayout>
              <c:xMode val="edge"/>
              <c:yMode val="edge"/>
              <c:x val="3.1746031746031744E-2"/>
              <c:y val="0.38412831729367236"/>
            </c:manualLayout>
          </c:layout>
        </c:title>
        <c:numFmt formatCode="#,##0" sourceLinked="1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04704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18294963129608813"/>
          <c:y val="0.11869649627129952"/>
          <c:w val="0.15832020997375323"/>
          <c:h val="0.15308286464191975"/>
        </c:manualLayout>
      </c:layout>
      <c:overlay val="1"/>
      <c:spPr>
        <a:solidFill>
          <a:schemeClr val="bg1"/>
        </a:solidFill>
      </c:spPr>
    </c:legend>
    <c:plotVisOnly val="1"/>
    <c:dispBlanksAs val="gap"/>
  </c:chart>
  <c:printSettings>
    <c:headerFooter alignWithMargins="0"/>
    <c:pageMargins b="1" l="0.75000000000000056" r="0.7500000000000005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Tornado Sensitivity Chart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'Fig 7.8-Tornado-Directsales'!$O$2</c:f>
              <c:strCache>
                <c:ptCount val="1"/>
                <c:pt idx="0">
                  <c:v>-10 Pct</c:v>
                </c:pt>
              </c:strCache>
            </c:strRef>
          </c:tx>
          <c:cat>
            <c:strRef>
              <c:f>'Fig 7.8-Tornado-Directsales'!$N$3:$N$19</c:f>
              <c:strCache>
                <c:ptCount val="17"/>
                <c:pt idx="0">
                  <c:v>Device Price</c:v>
                </c:pt>
                <c:pt idx="1">
                  <c:v>US Doctors</c:v>
                </c:pt>
                <c:pt idx="2">
                  <c:v>Peak Penetration Level</c:v>
                </c:pt>
                <c:pt idx="3">
                  <c:v>Tax Rate</c:v>
                </c:pt>
                <c:pt idx="4">
                  <c:v>Unit Mfg Cost</c:v>
                </c:pt>
                <c:pt idx="5">
                  <c:v>Materials Price</c:v>
                </c:pt>
                <c:pt idx="6">
                  <c:v>Discount Rate</c:v>
                </c:pt>
                <c:pt idx="7">
                  <c:v>Share of Installed Base Captured (3rd gen)</c:v>
                </c:pt>
                <c:pt idx="8">
                  <c:v>Share of Installed Base Captured (2nd gen)</c:v>
                </c:pt>
                <c:pt idx="9">
                  <c:v>Sales Force Cost</c:v>
                </c:pt>
                <c:pt idx="10">
                  <c:v>US Plant Cost</c:v>
                </c:pt>
                <c:pt idx="11">
                  <c:v>Depreciation Lifetime</c:v>
                </c:pt>
                <c:pt idx="12">
                  <c:v>Europe Doctors</c:v>
                </c:pt>
                <c:pt idx="13">
                  <c:v>Japan Doctors</c:v>
                </c:pt>
                <c:pt idx="14">
                  <c:v>Initial Penetration level</c:v>
                </c:pt>
                <c:pt idx="15">
                  <c:v>ROW Plant Cost</c:v>
                </c:pt>
                <c:pt idx="16">
                  <c:v>Licensing Fee</c:v>
                </c:pt>
              </c:strCache>
            </c:strRef>
          </c:cat>
          <c:val>
            <c:numRef>
              <c:f>'Fig 7.8-Tornado-Directsales'!$O$3:$O$19</c:f>
              <c:numCache>
                <c:formatCode>0</c:formatCode>
                <c:ptCount val="17"/>
                <c:pt idx="0">
                  <c:v>168.51324876400739</c:v>
                </c:pt>
                <c:pt idx="1">
                  <c:v>170.58603646352046</c:v>
                </c:pt>
                <c:pt idx="2">
                  <c:v>170.58603646352051</c:v>
                </c:pt>
                <c:pt idx="3">
                  <c:v>207.95190830461041</c:v>
                </c:pt>
                <c:pt idx="4">
                  <c:v>204.82261660400837</c:v>
                </c:pt>
                <c:pt idx="5">
                  <c:v>186.14719410923513</c:v>
                </c:pt>
                <c:pt idx="6">
                  <c:v>202.48501607520998</c:v>
                </c:pt>
                <c:pt idx="7">
                  <c:v>200.23610061325579</c:v>
                </c:pt>
                <c:pt idx="8">
                  <c:v>199.40846886496928</c:v>
                </c:pt>
                <c:pt idx="9">
                  <c:v>197.04203778115101</c:v>
                </c:pt>
                <c:pt idx="10">
                  <c:v>196.27260912523772</c:v>
                </c:pt>
                <c:pt idx="11">
                  <c:v>194.7282945771486</c:v>
                </c:pt>
                <c:pt idx="12">
                  <c:v>194.44851150686523</c:v>
                </c:pt>
                <c:pt idx="13">
                  <c:v>194.44851150686523</c:v>
                </c:pt>
                <c:pt idx="14">
                  <c:v>194.44851150686523</c:v>
                </c:pt>
                <c:pt idx="15">
                  <c:v>194.44851150686523</c:v>
                </c:pt>
                <c:pt idx="16">
                  <c:v>194.44851150686523</c:v>
                </c:pt>
              </c:numCache>
            </c:numRef>
          </c:val>
        </c:ser>
        <c:ser>
          <c:idx val="1"/>
          <c:order val="1"/>
          <c:tx>
            <c:strRef>
              <c:f>'Fig 7.8-Tornado-Directsales'!$P$2</c:f>
              <c:strCache>
                <c:ptCount val="1"/>
                <c:pt idx="0">
                  <c:v>+10 Pct</c:v>
                </c:pt>
              </c:strCache>
            </c:strRef>
          </c:tx>
          <c:cat>
            <c:strRef>
              <c:f>'Fig 7.8-Tornado-Directsales'!$N$3:$N$19</c:f>
              <c:strCache>
                <c:ptCount val="17"/>
                <c:pt idx="0">
                  <c:v>Device Price</c:v>
                </c:pt>
                <c:pt idx="1">
                  <c:v>US Doctors</c:v>
                </c:pt>
                <c:pt idx="2">
                  <c:v>Peak Penetration Level</c:v>
                </c:pt>
                <c:pt idx="3">
                  <c:v>Tax Rate</c:v>
                </c:pt>
                <c:pt idx="4">
                  <c:v>Unit Mfg Cost</c:v>
                </c:pt>
                <c:pt idx="5">
                  <c:v>Materials Price</c:v>
                </c:pt>
                <c:pt idx="6">
                  <c:v>Discount Rate</c:v>
                </c:pt>
                <c:pt idx="7">
                  <c:v>Share of Installed Base Captured (3rd gen)</c:v>
                </c:pt>
                <c:pt idx="8">
                  <c:v>Share of Installed Base Captured (2nd gen)</c:v>
                </c:pt>
                <c:pt idx="9">
                  <c:v>Sales Force Cost</c:v>
                </c:pt>
                <c:pt idx="10">
                  <c:v>US Plant Cost</c:v>
                </c:pt>
                <c:pt idx="11">
                  <c:v>Depreciation Lifetime</c:v>
                </c:pt>
                <c:pt idx="12">
                  <c:v>Europe Doctors</c:v>
                </c:pt>
                <c:pt idx="13">
                  <c:v>Japan Doctors</c:v>
                </c:pt>
                <c:pt idx="14">
                  <c:v>Initial Penetration level</c:v>
                </c:pt>
                <c:pt idx="15">
                  <c:v>ROW Plant Cost</c:v>
                </c:pt>
                <c:pt idx="16">
                  <c:v>Licensing Fee</c:v>
                </c:pt>
              </c:strCache>
            </c:strRef>
          </c:cat>
          <c:val>
            <c:numRef>
              <c:f>'Fig 7.8-Tornado-Directsales'!$P$3:$P$19</c:f>
              <c:numCache>
                <c:formatCode>0</c:formatCode>
                <c:ptCount val="17"/>
                <c:pt idx="0">
                  <c:v>220.38377424972305</c:v>
                </c:pt>
                <c:pt idx="1">
                  <c:v>218.31098655021003</c:v>
                </c:pt>
                <c:pt idx="2">
                  <c:v>218.31098655021003</c:v>
                </c:pt>
                <c:pt idx="3">
                  <c:v>180.94511470912008</c:v>
                </c:pt>
                <c:pt idx="4">
                  <c:v>184.07440640972206</c:v>
                </c:pt>
                <c:pt idx="5">
                  <c:v>202.74982890449536</c:v>
                </c:pt>
                <c:pt idx="6">
                  <c:v>186.81232921963533</c:v>
                </c:pt>
                <c:pt idx="7">
                  <c:v>188.66092240047465</c:v>
                </c:pt>
                <c:pt idx="8">
                  <c:v>189.48855414876112</c:v>
                </c:pt>
                <c:pt idx="9">
                  <c:v>191.85498523257942</c:v>
                </c:pt>
                <c:pt idx="10">
                  <c:v>192.62441388849277</c:v>
                </c:pt>
                <c:pt idx="11">
                  <c:v>194.18454869577619</c:v>
                </c:pt>
                <c:pt idx="12">
                  <c:v>194.44851150686523</c:v>
                </c:pt>
                <c:pt idx="13">
                  <c:v>194.44851150686523</c:v>
                </c:pt>
                <c:pt idx="14">
                  <c:v>194.44851150686523</c:v>
                </c:pt>
                <c:pt idx="15">
                  <c:v>194.44851150686523</c:v>
                </c:pt>
                <c:pt idx="16">
                  <c:v>194.44851150686523</c:v>
                </c:pt>
              </c:numCache>
            </c:numRef>
          </c:val>
        </c:ser>
        <c:overlap val="100"/>
        <c:axId val="304882816"/>
        <c:axId val="304884736"/>
      </c:barChart>
      <c:catAx>
        <c:axId val="304882816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</a:t>
                </a:r>
              </a:p>
            </c:rich>
          </c:tx>
        </c:title>
        <c:tickLblPos val="low"/>
        <c:crossAx val="304884736"/>
        <c:crossesAt val="194.44851150686515"/>
        <c:auto val="1"/>
        <c:lblAlgn val="ctr"/>
        <c:lblOffset val="100"/>
      </c:catAx>
      <c:valAx>
        <c:axId val="304884736"/>
        <c:scaling>
          <c:orientation val="minMax"/>
          <c:max val="220.38377424972305"/>
          <c:min val="168.51324876400727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NPV</a:t>
                </a:r>
              </a:p>
            </c:rich>
          </c:tx>
        </c:title>
        <c:numFmt formatCode="0" sourceLinked="1"/>
        <c:tickLblPos val="nextTo"/>
        <c:crossAx val="304882816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Tornado Sensitivity Chart</a:t>
            </a:r>
          </a:p>
        </c:rich>
      </c:tx>
    </c:title>
    <c:plotArea>
      <c:layout/>
      <c:barChart>
        <c:barDir val="bar"/>
        <c:grouping val="clustered"/>
        <c:ser>
          <c:idx val="0"/>
          <c:order val="0"/>
          <c:tx>
            <c:strRef>
              <c:f>'Fig 7.9-Tornado-Licensing'!$O$2</c:f>
              <c:strCache>
                <c:ptCount val="1"/>
                <c:pt idx="0">
                  <c:v>-10 Pct</c:v>
                </c:pt>
              </c:strCache>
            </c:strRef>
          </c:tx>
          <c:cat>
            <c:strRef>
              <c:f>'Fig 7.9-Tornado-Licensing'!$N$3:$N$19</c:f>
              <c:strCache>
                <c:ptCount val="17"/>
                <c:pt idx="0">
                  <c:v>Device Price</c:v>
                </c:pt>
                <c:pt idx="1">
                  <c:v>Licensing Fee</c:v>
                </c:pt>
                <c:pt idx="2">
                  <c:v>Peak Penetration Level</c:v>
                </c:pt>
                <c:pt idx="3">
                  <c:v>Unit Mfg Cost</c:v>
                </c:pt>
                <c:pt idx="4">
                  <c:v>Materials Price</c:v>
                </c:pt>
                <c:pt idx="5">
                  <c:v>Tax Rate</c:v>
                </c:pt>
                <c:pt idx="6">
                  <c:v>US Doctors</c:v>
                </c:pt>
                <c:pt idx="7">
                  <c:v>Share of Installed Base Captured (3rd gen)</c:v>
                </c:pt>
                <c:pt idx="8">
                  <c:v>Share of Installed Base Captured (2nd gen)</c:v>
                </c:pt>
                <c:pt idx="9">
                  <c:v>Discount Rate</c:v>
                </c:pt>
                <c:pt idx="10">
                  <c:v>Europe Doctors</c:v>
                </c:pt>
                <c:pt idx="11">
                  <c:v>Japan Doctors</c:v>
                </c:pt>
                <c:pt idx="12">
                  <c:v>US Plant Cost</c:v>
                </c:pt>
                <c:pt idx="13">
                  <c:v>ROW Plant Cost</c:v>
                </c:pt>
                <c:pt idx="14">
                  <c:v>Depreciation Lifetime</c:v>
                </c:pt>
                <c:pt idx="15">
                  <c:v>Initial Penetration level</c:v>
                </c:pt>
                <c:pt idx="16">
                  <c:v>Sales Force Cost</c:v>
                </c:pt>
              </c:strCache>
            </c:strRef>
          </c:cat>
          <c:val>
            <c:numRef>
              <c:f>'Fig 7.9-Tornado-Licensing'!$O$3:$O$19</c:f>
              <c:numCache>
                <c:formatCode>0</c:formatCode>
                <c:ptCount val="17"/>
                <c:pt idx="0">
                  <c:v>184.76204659656281</c:v>
                </c:pt>
                <c:pt idx="1">
                  <c:v>184.76204659656281</c:v>
                </c:pt>
                <c:pt idx="2">
                  <c:v>187.21536151787336</c:v>
                </c:pt>
                <c:pt idx="3">
                  <c:v>233.18783718463743</c:v>
                </c:pt>
                <c:pt idx="4">
                  <c:v>192.59600491654834</c:v>
                </c:pt>
                <c:pt idx="5">
                  <c:v>226.74857401771749</c:v>
                </c:pt>
                <c:pt idx="6">
                  <c:v>199.33758187293034</c:v>
                </c:pt>
                <c:pt idx="7">
                  <c:v>223.14398198427892</c:v>
                </c:pt>
                <c:pt idx="8">
                  <c:v>221.50251235017743</c:v>
                </c:pt>
                <c:pt idx="9">
                  <c:v>221.73835205475729</c:v>
                </c:pt>
                <c:pt idx="10">
                  <c:v>202.41950230218225</c:v>
                </c:pt>
                <c:pt idx="11">
                  <c:v>208.78880452263587</c:v>
                </c:pt>
                <c:pt idx="12">
                  <c:v>213.48936120831007</c:v>
                </c:pt>
                <c:pt idx="13">
                  <c:v>213.12454168463555</c:v>
                </c:pt>
                <c:pt idx="14">
                  <c:v>212.16887311644763</c:v>
                </c:pt>
                <c:pt idx="15">
                  <c:v>211.66526358993758</c:v>
                </c:pt>
                <c:pt idx="16">
                  <c:v>211.66526358993758</c:v>
                </c:pt>
              </c:numCache>
            </c:numRef>
          </c:val>
        </c:ser>
        <c:ser>
          <c:idx val="1"/>
          <c:order val="1"/>
          <c:tx>
            <c:strRef>
              <c:f>'Fig 7.9-Tornado-Licensing'!$P$2</c:f>
              <c:strCache>
                <c:ptCount val="1"/>
                <c:pt idx="0">
                  <c:v>+10 Pct</c:v>
                </c:pt>
              </c:strCache>
            </c:strRef>
          </c:tx>
          <c:cat>
            <c:strRef>
              <c:f>'Fig 7.9-Tornado-Licensing'!$N$3:$N$19</c:f>
              <c:strCache>
                <c:ptCount val="17"/>
                <c:pt idx="0">
                  <c:v>Device Price</c:v>
                </c:pt>
                <c:pt idx="1">
                  <c:v>Licensing Fee</c:v>
                </c:pt>
                <c:pt idx="2">
                  <c:v>Peak Penetration Level</c:v>
                </c:pt>
                <c:pt idx="3">
                  <c:v>Unit Mfg Cost</c:v>
                </c:pt>
                <c:pt idx="4">
                  <c:v>Materials Price</c:v>
                </c:pt>
                <c:pt idx="5">
                  <c:v>Tax Rate</c:v>
                </c:pt>
                <c:pt idx="6">
                  <c:v>US Doctors</c:v>
                </c:pt>
                <c:pt idx="7">
                  <c:v>Share of Installed Base Captured (3rd gen)</c:v>
                </c:pt>
                <c:pt idx="8">
                  <c:v>Share of Installed Base Captured (2nd gen)</c:v>
                </c:pt>
                <c:pt idx="9">
                  <c:v>Discount Rate</c:v>
                </c:pt>
                <c:pt idx="10">
                  <c:v>Europe Doctors</c:v>
                </c:pt>
                <c:pt idx="11">
                  <c:v>Japan Doctors</c:v>
                </c:pt>
                <c:pt idx="12">
                  <c:v>US Plant Cost</c:v>
                </c:pt>
                <c:pt idx="13">
                  <c:v>ROW Plant Cost</c:v>
                </c:pt>
                <c:pt idx="14">
                  <c:v>Depreciation Lifetime</c:v>
                </c:pt>
                <c:pt idx="15">
                  <c:v>Initial Penetration level</c:v>
                </c:pt>
                <c:pt idx="16">
                  <c:v>Sales Force Cost</c:v>
                </c:pt>
              </c:strCache>
            </c:strRef>
          </c:cat>
          <c:val>
            <c:numRef>
              <c:f>'Fig 7.9-Tornado-Licensing'!$P$3:$P$19</c:f>
              <c:numCache>
                <c:formatCode>0</c:formatCode>
                <c:ptCount val="17"/>
                <c:pt idx="0">
                  <c:v>238.56848058331241</c:v>
                </c:pt>
                <c:pt idx="1">
                  <c:v>238.56848058331241</c:v>
                </c:pt>
                <c:pt idx="2">
                  <c:v>236.11516566200191</c:v>
                </c:pt>
                <c:pt idx="3">
                  <c:v>190.14268999523773</c:v>
                </c:pt>
                <c:pt idx="4">
                  <c:v>230.73452226332694</c:v>
                </c:pt>
                <c:pt idx="5">
                  <c:v>196.58195316215759</c:v>
                </c:pt>
                <c:pt idx="6">
                  <c:v>223.99294530694476</c:v>
                </c:pt>
                <c:pt idx="7">
                  <c:v>200.18654519559624</c:v>
                </c:pt>
                <c:pt idx="8">
                  <c:v>201.82801482969785</c:v>
                </c:pt>
                <c:pt idx="9">
                  <c:v>202.12803559279405</c:v>
                </c:pt>
                <c:pt idx="10">
                  <c:v>220.91102487769302</c:v>
                </c:pt>
                <c:pt idx="11">
                  <c:v>214.54172265723923</c:v>
                </c:pt>
                <c:pt idx="12">
                  <c:v>209.84116597156515</c:v>
                </c:pt>
                <c:pt idx="13">
                  <c:v>210.20598549523964</c:v>
                </c:pt>
                <c:pt idx="14">
                  <c:v>211.1901305299773</c:v>
                </c:pt>
                <c:pt idx="15">
                  <c:v>211.66526358993758</c:v>
                </c:pt>
                <c:pt idx="16">
                  <c:v>211.66526358993758</c:v>
                </c:pt>
              </c:numCache>
            </c:numRef>
          </c:val>
        </c:ser>
        <c:overlap val="100"/>
        <c:axId val="304902912"/>
        <c:axId val="304904832"/>
      </c:barChart>
      <c:catAx>
        <c:axId val="304902912"/>
        <c:scaling>
          <c:orientation val="maxMin"/>
        </c:scaling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Parameter</a:t>
                </a:r>
              </a:p>
            </c:rich>
          </c:tx>
        </c:title>
        <c:tickLblPos val="low"/>
        <c:crossAx val="304904832"/>
        <c:crossesAt val="211.66526358993758"/>
        <c:auto val="1"/>
        <c:lblAlgn val="ctr"/>
        <c:lblOffset val="100"/>
      </c:catAx>
      <c:valAx>
        <c:axId val="304904832"/>
        <c:scaling>
          <c:orientation val="minMax"/>
          <c:max val="238.56848058331241"/>
          <c:min val="184.76204659656278"/>
        </c:scaling>
        <c:axPos val="t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NPV</a:t>
                </a:r>
              </a:p>
            </c:rich>
          </c:tx>
        </c:title>
        <c:numFmt formatCode="0" sourceLinked="1"/>
        <c:tickLblPos val="nextTo"/>
        <c:crossAx val="304902912"/>
        <c:crosses val="autoZero"/>
        <c:crossBetween val="between"/>
      </c:valAx>
    </c:plotArea>
    <c:legend>
      <c:legendPos val="b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9</xdr:col>
      <xdr:colOff>400050</xdr:colOff>
      <xdr:row>18</xdr:row>
      <xdr:rowOff>190500</xdr:rowOff>
    </xdr:to>
    <xdr:graphicFrame macro="">
      <xdr:nvGraphicFramePr>
        <xdr:cNvPr id="921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2</xdr:row>
      <xdr:rowOff>9525</xdr:rowOff>
    </xdr:from>
    <xdr:to>
      <xdr:col>12</xdr:col>
      <xdr:colOff>371475</xdr:colOff>
      <xdr:row>24</xdr:row>
      <xdr:rowOff>9525</xdr:rowOff>
    </xdr:to>
    <xdr:graphicFrame macro="">
      <xdr:nvGraphicFramePr>
        <xdr:cNvPr id="4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542925</xdr:colOff>
      <xdr:row>5</xdr:row>
      <xdr:rowOff>142875</xdr:rowOff>
    </xdr:from>
    <xdr:to>
      <xdr:col>12</xdr:col>
      <xdr:colOff>542925</xdr:colOff>
      <xdr:row>20</xdr:row>
      <xdr:rowOff>142875</xdr:rowOff>
    </xdr:to>
    <xdr:graphicFrame macro="">
      <xdr:nvGraphicFramePr>
        <xdr:cNvPr id="51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2" name="Torn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0</xdr:colOff>
      <xdr:row>31</xdr:row>
      <xdr:rowOff>0</xdr:rowOff>
    </xdr:to>
    <xdr:graphicFrame macro="">
      <xdr:nvGraphicFramePr>
        <xdr:cNvPr id="2" name="Tornad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25" sqref="F25"/>
    </sheetView>
  </sheetViews>
  <sheetFormatPr defaultRowHeight="15.75"/>
  <sheetData/>
  <phoneticPr fontId="2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95"/>
  <sheetViews>
    <sheetView topLeftCell="A42" zoomScale="60" zoomScaleNormal="60" workbookViewId="0">
      <selection sqref="A1:Q95"/>
    </sheetView>
  </sheetViews>
  <sheetFormatPr defaultRowHeight="15.75"/>
  <cols>
    <col min="1" max="1" width="17.375" style="1" customWidth="1"/>
    <col min="2" max="2" width="30.5" bestFit="1" customWidth="1"/>
    <col min="3" max="3" width="9.5" customWidth="1"/>
    <col min="9" max="9" width="11.125" bestFit="1" customWidth="1"/>
  </cols>
  <sheetData>
    <row r="1" spans="1:11">
      <c r="A1" s="1" t="s">
        <v>0</v>
      </c>
      <c r="B1" s="1" t="s">
        <v>75</v>
      </c>
    </row>
    <row r="3" spans="1:11">
      <c r="A3" s="2"/>
    </row>
    <row r="5" spans="1:11" ht="16.5" thickBot="1"/>
    <row r="6" spans="1:11" ht="16.5" thickBot="1">
      <c r="A6" s="12" t="s">
        <v>57</v>
      </c>
      <c r="B6" s="1"/>
      <c r="E6" s="10" t="s">
        <v>44</v>
      </c>
      <c r="F6" s="11">
        <f>B95</f>
        <v>194.44851150686523</v>
      </c>
      <c r="H6" t="s">
        <v>58</v>
      </c>
      <c r="K6" t="s">
        <v>63</v>
      </c>
    </row>
    <row r="7" spans="1:11">
      <c r="B7" t="s">
        <v>1</v>
      </c>
      <c r="C7">
        <v>0</v>
      </c>
      <c r="I7" t="s">
        <v>59</v>
      </c>
      <c r="J7" s="6">
        <v>194.44851150686523</v>
      </c>
      <c r="K7" s="17">
        <f>(F6-J7)/J7</f>
        <v>0</v>
      </c>
    </row>
    <row r="8" spans="1:11">
      <c r="I8" t="s">
        <v>60</v>
      </c>
      <c r="J8" s="6">
        <v>211.66526358993758</v>
      </c>
      <c r="K8" s="5">
        <f>(F6-J8)/J8</f>
        <v>-8.1339525395279944E-2</v>
      </c>
    </row>
    <row r="9" spans="1:11">
      <c r="A9" s="1" t="s">
        <v>2</v>
      </c>
    </row>
    <row r="10" spans="1:11">
      <c r="B10" s="3" t="s">
        <v>23</v>
      </c>
      <c r="E10" s="1" t="s">
        <v>78</v>
      </c>
    </row>
    <row r="11" spans="1:11">
      <c r="B11" t="s">
        <v>19</v>
      </c>
      <c r="C11">
        <v>600</v>
      </c>
      <c r="E11">
        <v>600</v>
      </c>
    </row>
    <row r="12" spans="1:11">
      <c r="B12" t="s">
        <v>20</v>
      </c>
      <c r="C12">
        <v>450</v>
      </c>
      <c r="E12">
        <v>450</v>
      </c>
    </row>
    <row r="13" spans="1:11">
      <c r="B13" t="s">
        <v>21</v>
      </c>
      <c r="C13">
        <v>140</v>
      </c>
      <c r="E13">
        <v>140</v>
      </c>
    </row>
    <row r="15" spans="1:11">
      <c r="B15" t="s">
        <v>28</v>
      </c>
      <c r="C15">
        <v>2009</v>
      </c>
      <c r="E15">
        <v>2009</v>
      </c>
    </row>
    <row r="16" spans="1:11">
      <c r="B16" t="s">
        <v>42</v>
      </c>
      <c r="C16" s="4">
        <v>0.4</v>
      </c>
      <c r="E16">
        <v>0.4</v>
      </c>
    </row>
    <row r="17" spans="2:5">
      <c r="B17" t="s">
        <v>43</v>
      </c>
      <c r="C17" s="4">
        <v>0.1</v>
      </c>
      <c r="E17">
        <v>0.1</v>
      </c>
    </row>
    <row r="19" spans="2:5">
      <c r="B19" t="s">
        <v>26</v>
      </c>
    </row>
    <row r="20" spans="2:5">
      <c r="B20" t="s">
        <v>27</v>
      </c>
      <c r="C20">
        <v>2010</v>
      </c>
      <c r="E20">
        <v>2010</v>
      </c>
    </row>
    <row r="21" spans="2:5">
      <c r="B21" s="3" t="s">
        <v>45</v>
      </c>
      <c r="C21">
        <v>2014</v>
      </c>
      <c r="E21">
        <v>2014</v>
      </c>
    </row>
    <row r="22" spans="2:5">
      <c r="B22" s="18" t="s">
        <v>76</v>
      </c>
      <c r="C22" s="4">
        <v>0</v>
      </c>
      <c r="E22">
        <v>0</v>
      </c>
    </row>
    <row r="23" spans="2:5">
      <c r="B23" s="18" t="s">
        <v>77</v>
      </c>
      <c r="C23" s="4">
        <v>0.1</v>
      </c>
      <c r="E23">
        <v>0.1</v>
      </c>
    </row>
    <row r="24" spans="2:5">
      <c r="B24" t="s">
        <v>48</v>
      </c>
      <c r="C24" s="6">
        <v>1</v>
      </c>
      <c r="E24">
        <v>1</v>
      </c>
    </row>
    <row r="25" spans="2:5">
      <c r="B25" t="s">
        <v>50</v>
      </c>
      <c r="C25" s="6">
        <f>MAX(C21-C7*C24,C20)</f>
        <v>2014</v>
      </c>
      <c r="E25">
        <v>2014</v>
      </c>
    </row>
    <row r="27" spans="2:5">
      <c r="B27" s="3" t="s">
        <v>55</v>
      </c>
    </row>
    <row r="28" spans="2:5">
      <c r="B28" t="s">
        <v>29</v>
      </c>
      <c r="C28">
        <v>2015</v>
      </c>
      <c r="E28">
        <v>2015</v>
      </c>
    </row>
    <row r="29" spans="2:5">
      <c r="B29" s="3" t="s">
        <v>56</v>
      </c>
      <c r="C29" s="4">
        <v>0.7</v>
      </c>
      <c r="E29">
        <v>0.7</v>
      </c>
    </row>
    <row r="30" spans="2:5">
      <c r="C30" s="4"/>
    </row>
    <row r="31" spans="2:5">
      <c r="B31" t="s">
        <v>54</v>
      </c>
      <c r="C31" s="4"/>
    </row>
    <row r="32" spans="2:5">
      <c r="B32" t="s">
        <v>29</v>
      </c>
      <c r="C32">
        <v>2019</v>
      </c>
      <c r="E32">
        <v>2019</v>
      </c>
    </row>
    <row r="33" spans="1:17">
      <c r="B33" s="3" t="s">
        <v>56</v>
      </c>
      <c r="C33" s="4">
        <v>1</v>
      </c>
      <c r="E33">
        <v>1</v>
      </c>
    </row>
    <row r="34" spans="1:17">
      <c r="C34" s="4"/>
    </row>
    <row r="35" spans="1:17">
      <c r="B35" t="s">
        <v>33</v>
      </c>
      <c r="C35" s="4"/>
    </row>
    <row r="36" spans="1:17">
      <c r="B36" t="s">
        <v>34</v>
      </c>
      <c r="C36" s="6">
        <v>10</v>
      </c>
      <c r="E36">
        <v>10</v>
      </c>
    </row>
    <row r="37" spans="1:17">
      <c r="B37" t="s">
        <v>35</v>
      </c>
      <c r="C37" s="6">
        <v>1</v>
      </c>
      <c r="E37">
        <v>1</v>
      </c>
    </row>
    <row r="38" spans="1:17">
      <c r="C38" s="4"/>
    </row>
    <row r="39" spans="1:17">
      <c r="B39" t="s">
        <v>39</v>
      </c>
      <c r="C39" s="4"/>
    </row>
    <row r="40" spans="1:17">
      <c r="B40" t="s">
        <v>40</v>
      </c>
      <c r="C40" s="6">
        <v>4</v>
      </c>
      <c r="E40">
        <v>4</v>
      </c>
    </row>
    <row r="41" spans="1:17">
      <c r="B41" t="s">
        <v>41</v>
      </c>
      <c r="C41" s="6">
        <v>15</v>
      </c>
      <c r="E41">
        <v>15</v>
      </c>
    </row>
    <row r="42" spans="1:17">
      <c r="B42" s="3" t="s">
        <v>51</v>
      </c>
      <c r="C42">
        <v>25</v>
      </c>
      <c r="E42">
        <v>25</v>
      </c>
    </row>
    <row r="43" spans="1:17">
      <c r="B43" s="3" t="s">
        <v>52</v>
      </c>
      <c r="C43">
        <v>20</v>
      </c>
      <c r="E43">
        <v>20</v>
      </c>
    </row>
    <row r="44" spans="1:17">
      <c r="B44" s="3" t="s">
        <v>53</v>
      </c>
      <c r="C44">
        <v>10</v>
      </c>
      <c r="E44">
        <v>10</v>
      </c>
    </row>
    <row r="45" spans="1:17">
      <c r="B45" t="s">
        <v>49</v>
      </c>
      <c r="C45" s="4">
        <v>0.5</v>
      </c>
      <c r="E45">
        <v>0.5</v>
      </c>
    </row>
    <row r="47" spans="1:17">
      <c r="C47" s="1">
        <f>C15</f>
        <v>2009</v>
      </c>
      <c r="D47" s="1">
        <f>C47+1</f>
        <v>2010</v>
      </c>
      <c r="E47" s="1">
        <f t="shared" ref="E47:Q47" si="0">D47+1</f>
        <v>2011</v>
      </c>
      <c r="F47" s="1">
        <f t="shared" si="0"/>
        <v>2012</v>
      </c>
      <c r="G47" s="1">
        <f t="shared" si="0"/>
        <v>2013</v>
      </c>
      <c r="H47" s="1">
        <f t="shared" si="0"/>
        <v>2014</v>
      </c>
      <c r="I47" s="1">
        <f t="shared" si="0"/>
        <v>2015</v>
      </c>
      <c r="J47" s="1">
        <f t="shared" si="0"/>
        <v>2016</v>
      </c>
      <c r="K47" s="1">
        <f t="shared" si="0"/>
        <v>2017</v>
      </c>
      <c r="L47" s="1">
        <f t="shared" si="0"/>
        <v>2018</v>
      </c>
      <c r="M47" s="1">
        <f t="shared" si="0"/>
        <v>2019</v>
      </c>
      <c r="N47" s="1">
        <f t="shared" si="0"/>
        <v>2020</v>
      </c>
      <c r="O47" s="1">
        <f t="shared" si="0"/>
        <v>2021</v>
      </c>
      <c r="P47" s="1">
        <f t="shared" si="0"/>
        <v>2022</v>
      </c>
      <c r="Q47" s="1">
        <f t="shared" si="0"/>
        <v>2023</v>
      </c>
    </row>
    <row r="48" spans="1:17">
      <c r="A48" s="1" t="s">
        <v>3</v>
      </c>
    </row>
    <row r="49" spans="2:17">
      <c r="B49" s="3" t="s">
        <v>23</v>
      </c>
    </row>
    <row r="50" spans="2:17">
      <c r="B50" t="s">
        <v>19</v>
      </c>
      <c r="C50">
        <f>C11</f>
        <v>600</v>
      </c>
      <c r="D50">
        <f>C50</f>
        <v>600</v>
      </c>
      <c r="E50">
        <f t="shared" ref="E50:Q50" si="1">D50</f>
        <v>600</v>
      </c>
      <c r="F50">
        <f t="shared" si="1"/>
        <v>600</v>
      </c>
      <c r="G50">
        <f t="shared" si="1"/>
        <v>600</v>
      </c>
      <c r="H50">
        <f t="shared" si="1"/>
        <v>600</v>
      </c>
      <c r="I50">
        <f t="shared" si="1"/>
        <v>600</v>
      </c>
      <c r="J50">
        <f t="shared" si="1"/>
        <v>600</v>
      </c>
      <c r="K50">
        <f t="shared" si="1"/>
        <v>600</v>
      </c>
      <c r="L50">
        <f t="shared" si="1"/>
        <v>600</v>
      </c>
      <c r="M50">
        <f t="shared" si="1"/>
        <v>600</v>
      </c>
      <c r="N50">
        <f t="shared" si="1"/>
        <v>600</v>
      </c>
      <c r="O50">
        <f t="shared" si="1"/>
        <v>600</v>
      </c>
      <c r="P50">
        <f t="shared" si="1"/>
        <v>600</v>
      </c>
      <c r="Q50">
        <f t="shared" si="1"/>
        <v>600</v>
      </c>
    </row>
    <row r="51" spans="2:17">
      <c r="B51" t="s">
        <v>20</v>
      </c>
      <c r="C51">
        <f>C12</f>
        <v>450</v>
      </c>
      <c r="D51">
        <f t="shared" ref="D51:Q52" si="2">C51</f>
        <v>450</v>
      </c>
      <c r="E51">
        <f t="shared" si="2"/>
        <v>450</v>
      </c>
      <c r="F51">
        <f t="shared" si="2"/>
        <v>450</v>
      </c>
      <c r="G51">
        <f t="shared" si="2"/>
        <v>450</v>
      </c>
      <c r="H51">
        <f t="shared" si="2"/>
        <v>450</v>
      </c>
      <c r="I51">
        <f t="shared" si="2"/>
        <v>450</v>
      </c>
      <c r="J51">
        <f t="shared" si="2"/>
        <v>450</v>
      </c>
      <c r="K51">
        <f t="shared" si="2"/>
        <v>450</v>
      </c>
      <c r="L51">
        <f t="shared" si="2"/>
        <v>450</v>
      </c>
      <c r="M51">
        <f t="shared" si="2"/>
        <v>450</v>
      </c>
      <c r="N51">
        <f t="shared" si="2"/>
        <v>450</v>
      </c>
      <c r="O51">
        <f t="shared" si="2"/>
        <v>450</v>
      </c>
      <c r="P51">
        <f t="shared" si="2"/>
        <v>450</v>
      </c>
      <c r="Q51">
        <f t="shared" si="2"/>
        <v>450</v>
      </c>
    </row>
    <row r="52" spans="2:17">
      <c r="B52" t="s">
        <v>21</v>
      </c>
      <c r="C52">
        <f>C13</f>
        <v>140</v>
      </c>
      <c r="D52">
        <f t="shared" si="2"/>
        <v>140</v>
      </c>
      <c r="E52">
        <f t="shared" si="2"/>
        <v>140</v>
      </c>
      <c r="F52">
        <f t="shared" si="2"/>
        <v>140</v>
      </c>
      <c r="G52">
        <f t="shared" si="2"/>
        <v>140</v>
      </c>
      <c r="H52">
        <f t="shared" si="2"/>
        <v>140</v>
      </c>
      <c r="I52">
        <f t="shared" si="2"/>
        <v>140</v>
      </c>
      <c r="J52">
        <f t="shared" si="2"/>
        <v>140</v>
      </c>
      <c r="K52">
        <f t="shared" si="2"/>
        <v>140</v>
      </c>
      <c r="L52">
        <f t="shared" si="2"/>
        <v>140</v>
      </c>
      <c r="M52">
        <f t="shared" si="2"/>
        <v>140</v>
      </c>
      <c r="N52">
        <f t="shared" si="2"/>
        <v>140</v>
      </c>
      <c r="O52">
        <f t="shared" si="2"/>
        <v>140</v>
      </c>
      <c r="P52">
        <f t="shared" si="2"/>
        <v>140</v>
      </c>
      <c r="Q52">
        <f t="shared" si="2"/>
        <v>140</v>
      </c>
    </row>
    <row r="53" spans="2:17">
      <c r="B53" t="s">
        <v>22</v>
      </c>
      <c r="C53">
        <f>SUM(C50:C52)</f>
        <v>1190</v>
      </c>
      <c r="D53">
        <f t="shared" ref="D53:Q53" si="3">SUM(D50:D52)</f>
        <v>1190</v>
      </c>
      <c r="E53">
        <f t="shared" si="3"/>
        <v>1190</v>
      </c>
      <c r="F53">
        <f t="shared" si="3"/>
        <v>1190</v>
      </c>
      <c r="G53">
        <f t="shared" si="3"/>
        <v>1190</v>
      </c>
      <c r="H53">
        <f t="shared" si="3"/>
        <v>1190</v>
      </c>
      <c r="I53">
        <f t="shared" si="3"/>
        <v>1190</v>
      </c>
      <c r="J53">
        <f t="shared" si="3"/>
        <v>1190</v>
      </c>
      <c r="K53">
        <f t="shared" si="3"/>
        <v>1190</v>
      </c>
      <c r="L53">
        <f t="shared" si="3"/>
        <v>1190</v>
      </c>
      <c r="M53">
        <f t="shared" si="3"/>
        <v>1190</v>
      </c>
      <c r="N53">
        <f t="shared" si="3"/>
        <v>1190</v>
      </c>
      <c r="O53">
        <f t="shared" si="3"/>
        <v>1190</v>
      </c>
      <c r="P53">
        <f t="shared" si="3"/>
        <v>1190</v>
      </c>
      <c r="Q53">
        <f t="shared" si="3"/>
        <v>1190</v>
      </c>
    </row>
    <row r="55" spans="2:17">
      <c r="B55" t="s">
        <v>26</v>
      </c>
      <c r="C55" s="17">
        <f>IF(C47&lt;$C$20,0,IF(AND(C47=$C$20,C47&lt;&gt;$C$25),$C$22,IF(C47&lt;$C$25,($C$23-$C$22)/($C$25-$C$20)+B55,$C$23)))</f>
        <v>0</v>
      </c>
      <c r="D55" s="17">
        <f t="shared" ref="D55:Q55" si="4">IF(D47&lt;$C$20,0,IF(AND(D47=$C$20,D47&lt;&gt;$C$25),$C$22,IF(D47&lt;$C$25,($C$23-$C$22)/($C$25-$C$20)+C55,$C$23)))</f>
        <v>0</v>
      </c>
      <c r="E55" s="17">
        <f t="shared" si="4"/>
        <v>2.5000000000000001E-2</v>
      </c>
      <c r="F55" s="17">
        <f t="shared" si="4"/>
        <v>0.05</v>
      </c>
      <c r="G55" s="17">
        <f t="shared" si="4"/>
        <v>7.5000000000000011E-2</v>
      </c>
      <c r="H55" s="17">
        <f t="shared" si="4"/>
        <v>0.1</v>
      </c>
      <c r="I55" s="17">
        <f t="shared" si="4"/>
        <v>0.1</v>
      </c>
      <c r="J55" s="17">
        <f t="shared" si="4"/>
        <v>0.1</v>
      </c>
      <c r="K55" s="17">
        <f t="shared" si="4"/>
        <v>0.1</v>
      </c>
      <c r="L55" s="17">
        <f t="shared" si="4"/>
        <v>0.1</v>
      </c>
      <c r="M55" s="17">
        <f t="shared" si="4"/>
        <v>0.1</v>
      </c>
      <c r="N55" s="17">
        <f t="shared" si="4"/>
        <v>0.1</v>
      </c>
      <c r="O55" s="17">
        <f t="shared" si="4"/>
        <v>0.1</v>
      </c>
      <c r="P55" s="17">
        <f t="shared" si="4"/>
        <v>0.1</v>
      </c>
      <c r="Q55" s="17">
        <f t="shared" si="4"/>
        <v>0.1</v>
      </c>
    </row>
    <row r="57" spans="2:17">
      <c r="B57" t="s">
        <v>24</v>
      </c>
      <c r="C57">
        <f>C55*(C50+$C$7*(C51+C52))</f>
        <v>0</v>
      </c>
      <c r="D57">
        <f t="shared" ref="D57:Q57" si="5">D55*(D50+$C$7*(D51+D52))</f>
        <v>0</v>
      </c>
      <c r="E57">
        <f t="shared" si="5"/>
        <v>15</v>
      </c>
      <c r="F57">
        <f t="shared" si="5"/>
        <v>30</v>
      </c>
      <c r="G57">
        <f t="shared" si="5"/>
        <v>45.000000000000007</v>
      </c>
      <c r="H57">
        <f t="shared" si="5"/>
        <v>60</v>
      </c>
      <c r="I57">
        <f t="shared" si="5"/>
        <v>60</v>
      </c>
      <c r="J57">
        <f t="shared" si="5"/>
        <v>60</v>
      </c>
      <c r="K57">
        <f t="shared" si="5"/>
        <v>60</v>
      </c>
      <c r="L57">
        <f t="shared" si="5"/>
        <v>60</v>
      </c>
      <c r="M57">
        <f t="shared" si="5"/>
        <v>60</v>
      </c>
      <c r="N57">
        <f t="shared" si="5"/>
        <v>60</v>
      </c>
      <c r="O57">
        <f t="shared" si="5"/>
        <v>60</v>
      </c>
      <c r="P57">
        <f t="shared" si="5"/>
        <v>60</v>
      </c>
      <c r="Q57">
        <f t="shared" si="5"/>
        <v>60</v>
      </c>
    </row>
    <row r="58" spans="2:17">
      <c r="B58" t="s">
        <v>25</v>
      </c>
      <c r="C58">
        <f>0</f>
        <v>0</v>
      </c>
      <c r="D58">
        <f t="shared" ref="D58:Q58" si="6">D57-C57</f>
        <v>0</v>
      </c>
      <c r="E58">
        <f t="shared" si="6"/>
        <v>15</v>
      </c>
      <c r="F58">
        <f t="shared" si="6"/>
        <v>15</v>
      </c>
      <c r="G58">
        <f t="shared" si="6"/>
        <v>15.000000000000007</v>
      </c>
      <c r="H58">
        <f t="shared" si="6"/>
        <v>14.999999999999993</v>
      </c>
      <c r="I58">
        <f t="shared" si="6"/>
        <v>0</v>
      </c>
      <c r="J58">
        <f t="shared" si="6"/>
        <v>0</v>
      </c>
      <c r="K58">
        <f t="shared" si="6"/>
        <v>0</v>
      </c>
      <c r="L58">
        <f t="shared" si="6"/>
        <v>0</v>
      </c>
      <c r="M58">
        <f t="shared" si="6"/>
        <v>0</v>
      </c>
      <c r="N58">
        <f t="shared" si="6"/>
        <v>0</v>
      </c>
      <c r="O58">
        <f t="shared" si="6"/>
        <v>0</v>
      </c>
      <c r="P58">
        <f t="shared" si="6"/>
        <v>0</v>
      </c>
      <c r="Q58">
        <f t="shared" si="6"/>
        <v>0</v>
      </c>
    </row>
    <row r="59" spans="2:17">
      <c r="B59" t="s">
        <v>30</v>
      </c>
      <c r="C59" s="5">
        <f t="shared" ref="C59:G59" si="7">IF(AND(C47&lt;$C$28, C47&lt;$C$32),1,IF(AND(C47&gt;=$C$28, C47&lt;$C$32),1-$C$29, 1-$C$33))</f>
        <v>1</v>
      </c>
      <c r="D59" s="5">
        <f t="shared" si="7"/>
        <v>1</v>
      </c>
      <c r="E59" s="5">
        <f t="shared" si="7"/>
        <v>1</v>
      </c>
      <c r="F59" s="5">
        <f t="shared" si="7"/>
        <v>1</v>
      </c>
      <c r="G59" s="5">
        <f t="shared" si="7"/>
        <v>1</v>
      </c>
      <c r="H59" s="5">
        <f>IF(AND(H47&lt;$C$28, H47&lt;$C$32),1,IF(AND(H47&gt;=$C$28, H47&lt;$C$32),1-$C$29, 1-$C$33))</f>
        <v>1</v>
      </c>
      <c r="I59" s="5">
        <f t="shared" ref="I59:Q59" si="8">IF(AND(I47&lt;$C$28, I47&lt;$C$32),1,IF(AND(I47&gt;=$C$28, I47&lt;$C$32),1-$C$29, 1-$C$33))</f>
        <v>0.30000000000000004</v>
      </c>
      <c r="J59" s="5">
        <f t="shared" si="8"/>
        <v>0.30000000000000004</v>
      </c>
      <c r="K59" s="5">
        <f t="shared" si="8"/>
        <v>0.30000000000000004</v>
      </c>
      <c r="L59" s="5">
        <f t="shared" si="8"/>
        <v>0.30000000000000004</v>
      </c>
      <c r="M59" s="5">
        <f t="shared" si="8"/>
        <v>0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</row>
    <row r="61" spans="2:17">
      <c r="B61" t="s">
        <v>31</v>
      </c>
      <c r="C61">
        <f>+C59*C58</f>
        <v>0</v>
      </c>
      <c r="D61">
        <f t="shared" ref="D61:Q61" si="9">+D59*D58</f>
        <v>0</v>
      </c>
      <c r="E61">
        <f t="shared" si="9"/>
        <v>15</v>
      </c>
      <c r="F61">
        <f t="shared" si="9"/>
        <v>15</v>
      </c>
      <c r="G61">
        <f t="shared" si="9"/>
        <v>15.000000000000007</v>
      </c>
      <c r="H61">
        <f t="shared" si="9"/>
        <v>14.999999999999993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0</v>
      </c>
      <c r="N61">
        <f t="shared" si="9"/>
        <v>0</v>
      </c>
      <c r="O61">
        <f t="shared" si="9"/>
        <v>0</v>
      </c>
      <c r="P61">
        <f t="shared" si="9"/>
        <v>0</v>
      </c>
      <c r="Q61">
        <f t="shared" si="9"/>
        <v>0</v>
      </c>
    </row>
    <row r="62" spans="2:17">
      <c r="B62" t="s">
        <v>32</v>
      </c>
      <c r="C62">
        <v>0</v>
      </c>
      <c r="D62">
        <f>C62+D61</f>
        <v>0</v>
      </c>
      <c r="E62">
        <f t="shared" ref="E62:Q62" si="10">D62+E61</f>
        <v>15</v>
      </c>
      <c r="F62">
        <f t="shared" si="10"/>
        <v>30</v>
      </c>
      <c r="G62">
        <f t="shared" si="10"/>
        <v>45.000000000000007</v>
      </c>
      <c r="H62">
        <f t="shared" si="10"/>
        <v>60</v>
      </c>
      <c r="I62">
        <f t="shared" si="10"/>
        <v>60</v>
      </c>
      <c r="J62">
        <f t="shared" si="10"/>
        <v>60</v>
      </c>
      <c r="K62">
        <f t="shared" si="10"/>
        <v>60</v>
      </c>
      <c r="L62">
        <f t="shared" si="10"/>
        <v>60</v>
      </c>
      <c r="M62">
        <f t="shared" si="10"/>
        <v>60</v>
      </c>
      <c r="N62">
        <f t="shared" si="10"/>
        <v>60</v>
      </c>
      <c r="O62">
        <f t="shared" si="10"/>
        <v>60</v>
      </c>
      <c r="P62">
        <f t="shared" si="10"/>
        <v>60</v>
      </c>
      <c r="Q62">
        <f t="shared" si="10"/>
        <v>60</v>
      </c>
    </row>
    <row r="63" spans="2:17">
      <c r="B63" t="s">
        <v>36</v>
      </c>
      <c r="C63">
        <f>C62*C59</f>
        <v>0</v>
      </c>
      <c r="D63">
        <f t="shared" ref="D63:I63" si="11">D62*D59</f>
        <v>0</v>
      </c>
      <c r="E63">
        <f t="shared" si="11"/>
        <v>15</v>
      </c>
      <c r="F63">
        <f t="shared" si="11"/>
        <v>30</v>
      </c>
      <c r="G63">
        <f t="shared" si="11"/>
        <v>45.000000000000007</v>
      </c>
      <c r="H63">
        <f t="shared" si="11"/>
        <v>60</v>
      </c>
      <c r="I63">
        <f t="shared" si="11"/>
        <v>18.000000000000004</v>
      </c>
      <c r="J63">
        <f t="shared" ref="J63:Q63" si="12">J62*J59</f>
        <v>18.000000000000004</v>
      </c>
      <c r="K63">
        <f t="shared" si="12"/>
        <v>18.000000000000004</v>
      </c>
      <c r="L63">
        <f t="shared" si="12"/>
        <v>18.000000000000004</v>
      </c>
      <c r="M63">
        <f t="shared" si="12"/>
        <v>0</v>
      </c>
      <c r="N63">
        <f t="shared" si="12"/>
        <v>0</v>
      </c>
      <c r="O63">
        <f t="shared" si="12"/>
        <v>0</v>
      </c>
      <c r="P63">
        <f t="shared" si="12"/>
        <v>0</v>
      </c>
      <c r="Q63">
        <f t="shared" si="12"/>
        <v>0</v>
      </c>
    </row>
    <row r="65" spans="1:17">
      <c r="B65" t="s">
        <v>37</v>
      </c>
    </row>
    <row r="66" spans="1:17">
      <c r="B66" t="s">
        <v>38</v>
      </c>
    </row>
    <row r="67" spans="1:17">
      <c r="B67" t="s">
        <v>46</v>
      </c>
      <c r="C67">
        <f t="shared" ref="C67:Q67" si="13">(1-$C$7)*C61*$C$36</f>
        <v>0</v>
      </c>
      <c r="D67">
        <f t="shared" si="13"/>
        <v>0</v>
      </c>
      <c r="E67">
        <f t="shared" si="13"/>
        <v>150</v>
      </c>
      <c r="F67">
        <f t="shared" si="13"/>
        <v>150</v>
      </c>
      <c r="G67">
        <f t="shared" si="13"/>
        <v>150.00000000000006</v>
      </c>
      <c r="H67">
        <f t="shared" si="13"/>
        <v>149.99999999999994</v>
      </c>
      <c r="I67">
        <f t="shared" si="13"/>
        <v>0</v>
      </c>
      <c r="J67">
        <f t="shared" si="13"/>
        <v>0</v>
      </c>
      <c r="K67">
        <f t="shared" si="13"/>
        <v>0</v>
      </c>
      <c r="L67">
        <f t="shared" si="13"/>
        <v>0</v>
      </c>
      <c r="M67">
        <f t="shared" si="13"/>
        <v>0</v>
      </c>
      <c r="N67">
        <f t="shared" si="13"/>
        <v>0</v>
      </c>
      <c r="O67">
        <f t="shared" si="13"/>
        <v>0</v>
      </c>
      <c r="P67">
        <f t="shared" si="13"/>
        <v>0</v>
      </c>
      <c r="Q67">
        <f t="shared" si="13"/>
        <v>0</v>
      </c>
    </row>
    <row r="68" spans="1:17">
      <c r="B68" t="s">
        <v>47</v>
      </c>
      <c r="C68">
        <f t="shared" ref="C68:Q68" si="14">$C$7*$C$45*C61*$C$36</f>
        <v>0</v>
      </c>
      <c r="D68">
        <f t="shared" si="14"/>
        <v>0</v>
      </c>
      <c r="E68">
        <f t="shared" si="14"/>
        <v>0</v>
      </c>
      <c r="F68">
        <f t="shared" si="14"/>
        <v>0</v>
      </c>
      <c r="G68">
        <f t="shared" si="14"/>
        <v>0</v>
      </c>
      <c r="H68">
        <f t="shared" si="14"/>
        <v>0</v>
      </c>
      <c r="I68">
        <f t="shared" si="14"/>
        <v>0</v>
      </c>
      <c r="J68">
        <f t="shared" si="14"/>
        <v>0</v>
      </c>
      <c r="K68">
        <f t="shared" si="14"/>
        <v>0</v>
      </c>
      <c r="L68">
        <f t="shared" si="14"/>
        <v>0</v>
      </c>
      <c r="M68">
        <f t="shared" si="14"/>
        <v>0</v>
      </c>
      <c r="N68">
        <f t="shared" si="14"/>
        <v>0</v>
      </c>
      <c r="O68">
        <f t="shared" si="14"/>
        <v>0</v>
      </c>
      <c r="P68">
        <f t="shared" si="14"/>
        <v>0</v>
      </c>
      <c r="Q68">
        <f t="shared" si="14"/>
        <v>0</v>
      </c>
    </row>
    <row r="69" spans="1:17">
      <c r="B69" t="s">
        <v>35</v>
      </c>
      <c r="C69">
        <f>C63*$C$37</f>
        <v>0</v>
      </c>
      <c r="D69">
        <f t="shared" ref="D69:Q69" si="15">D63*$C$37</f>
        <v>0</v>
      </c>
      <c r="E69">
        <f t="shared" si="15"/>
        <v>15</v>
      </c>
      <c r="F69">
        <f t="shared" si="15"/>
        <v>30</v>
      </c>
      <c r="G69">
        <f t="shared" si="15"/>
        <v>45.000000000000007</v>
      </c>
      <c r="H69">
        <f t="shared" si="15"/>
        <v>60</v>
      </c>
      <c r="I69">
        <f t="shared" si="15"/>
        <v>18.000000000000004</v>
      </c>
      <c r="J69">
        <f t="shared" si="15"/>
        <v>18.000000000000004</v>
      </c>
      <c r="K69">
        <f t="shared" si="15"/>
        <v>18.000000000000004</v>
      </c>
      <c r="L69">
        <f t="shared" si="15"/>
        <v>18.000000000000004</v>
      </c>
      <c r="M69">
        <f t="shared" si="15"/>
        <v>0</v>
      </c>
      <c r="N69">
        <f t="shared" si="15"/>
        <v>0</v>
      </c>
      <c r="O69">
        <f t="shared" si="15"/>
        <v>0</v>
      </c>
      <c r="P69">
        <f t="shared" si="15"/>
        <v>0</v>
      </c>
      <c r="Q69">
        <f t="shared" si="15"/>
        <v>0</v>
      </c>
    </row>
    <row r="70" spans="1:17">
      <c r="B70" t="s">
        <v>22</v>
      </c>
      <c r="C70">
        <f>SUM(C67:C69)</f>
        <v>0</v>
      </c>
      <c r="D70">
        <f t="shared" ref="D70:Q70" si="16">SUM(D67:D69)</f>
        <v>0</v>
      </c>
      <c r="E70">
        <f t="shared" si="16"/>
        <v>165</v>
      </c>
      <c r="F70">
        <f t="shared" si="16"/>
        <v>180</v>
      </c>
      <c r="G70">
        <f t="shared" si="16"/>
        <v>195.00000000000006</v>
      </c>
      <c r="H70">
        <f t="shared" si="16"/>
        <v>209.99999999999994</v>
      </c>
      <c r="I70">
        <f t="shared" si="16"/>
        <v>18.000000000000004</v>
      </c>
      <c r="J70">
        <f t="shared" si="16"/>
        <v>18.000000000000004</v>
      </c>
      <c r="K70">
        <f t="shared" si="16"/>
        <v>18.000000000000004</v>
      </c>
      <c r="L70">
        <f t="shared" si="16"/>
        <v>18.000000000000004</v>
      </c>
      <c r="M70">
        <f t="shared" si="16"/>
        <v>0</v>
      </c>
      <c r="N70">
        <f t="shared" si="16"/>
        <v>0</v>
      </c>
      <c r="O70">
        <f t="shared" si="16"/>
        <v>0</v>
      </c>
      <c r="P70">
        <f t="shared" si="16"/>
        <v>0</v>
      </c>
      <c r="Q70">
        <f t="shared" si="16"/>
        <v>0</v>
      </c>
    </row>
    <row r="72" spans="1:17">
      <c r="A72" s="1" t="s">
        <v>4</v>
      </c>
    </row>
    <row r="73" spans="1:17">
      <c r="B73" t="s">
        <v>16</v>
      </c>
      <c r="C73" s="7">
        <f>C61*$C$40</f>
        <v>0</v>
      </c>
      <c r="D73" s="7">
        <f t="shared" ref="D73:Q73" si="17">D61*$C$40</f>
        <v>0</v>
      </c>
      <c r="E73" s="7">
        <f t="shared" si="17"/>
        <v>60</v>
      </c>
      <c r="F73" s="7">
        <f t="shared" si="17"/>
        <v>60</v>
      </c>
      <c r="G73" s="7">
        <f t="shared" si="17"/>
        <v>60.000000000000028</v>
      </c>
      <c r="H73" s="7">
        <f t="shared" si="17"/>
        <v>59.999999999999972</v>
      </c>
      <c r="I73" s="7">
        <f t="shared" si="17"/>
        <v>0</v>
      </c>
      <c r="J73" s="7">
        <f t="shared" si="17"/>
        <v>0</v>
      </c>
      <c r="K73" s="7">
        <f t="shared" si="17"/>
        <v>0</v>
      </c>
      <c r="L73" s="7">
        <f t="shared" si="17"/>
        <v>0</v>
      </c>
      <c r="M73" s="7">
        <f t="shared" si="17"/>
        <v>0</v>
      </c>
      <c r="N73" s="7">
        <f t="shared" si="17"/>
        <v>0</v>
      </c>
      <c r="O73" s="7">
        <f t="shared" si="17"/>
        <v>0</v>
      </c>
      <c r="P73" s="7">
        <f t="shared" si="17"/>
        <v>0</v>
      </c>
      <c r="Q73" s="7">
        <f t="shared" si="17"/>
        <v>0</v>
      </c>
    </row>
    <row r="74" spans="1:17">
      <c r="B74" s="3" t="s">
        <v>17</v>
      </c>
      <c r="C74" s="7">
        <f t="shared" ref="C74:Q74" si="18">IF(C61&gt;0,$C$41,0)*(1-$C$7)</f>
        <v>0</v>
      </c>
      <c r="D74" s="7">
        <f t="shared" si="18"/>
        <v>0</v>
      </c>
      <c r="E74" s="7">
        <f t="shared" si="18"/>
        <v>15</v>
      </c>
      <c r="F74" s="7">
        <f t="shared" si="18"/>
        <v>15</v>
      </c>
      <c r="G74" s="7">
        <f t="shared" si="18"/>
        <v>15</v>
      </c>
      <c r="H74" s="7">
        <f t="shared" si="18"/>
        <v>15</v>
      </c>
      <c r="I74" s="7">
        <f t="shared" si="18"/>
        <v>0</v>
      </c>
      <c r="J74" s="7">
        <f t="shared" si="18"/>
        <v>0</v>
      </c>
      <c r="K74" s="7">
        <f t="shared" si="18"/>
        <v>0</v>
      </c>
      <c r="L74" s="7">
        <f t="shared" si="18"/>
        <v>0</v>
      </c>
      <c r="M74" s="7">
        <f t="shared" si="18"/>
        <v>0</v>
      </c>
      <c r="N74" s="7">
        <f t="shared" si="18"/>
        <v>0</v>
      </c>
      <c r="O74" s="7">
        <f t="shared" si="18"/>
        <v>0</v>
      </c>
      <c r="P74" s="7">
        <f t="shared" si="18"/>
        <v>0</v>
      </c>
      <c r="Q74" s="7">
        <f t="shared" si="18"/>
        <v>0</v>
      </c>
    </row>
    <row r="75" spans="1:17">
      <c r="B75" t="s">
        <v>15</v>
      </c>
      <c r="C75" s="7">
        <f>C73+C74</f>
        <v>0</v>
      </c>
      <c r="D75" s="7">
        <f t="shared" ref="D75:Q75" si="19">D73+D74</f>
        <v>0</v>
      </c>
      <c r="E75" s="7">
        <f t="shared" si="19"/>
        <v>75</v>
      </c>
      <c r="F75" s="7">
        <f t="shared" si="19"/>
        <v>75</v>
      </c>
      <c r="G75" s="7">
        <f t="shared" si="19"/>
        <v>75.000000000000028</v>
      </c>
      <c r="H75" s="7">
        <f t="shared" si="19"/>
        <v>74.999999999999972</v>
      </c>
      <c r="I75" s="7">
        <f t="shared" si="19"/>
        <v>0</v>
      </c>
      <c r="J75" s="7">
        <f t="shared" si="19"/>
        <v>0</v>
      </c>
      <c r="K75" s="7">
        <f t="shared" si="19"/>
        <v>0</v>
      </c>
      <c r="L75" s="7">
        <f t="shared" si="19"/>
        <v>0</v>
      </c>
      <c r="M75" s="7">
        <f t="shared" si="19"/>
        <v>0</v>
      </c>
      <c r="N75" s="7">
        <f t="shared" si="19"/>
        <v>0</v>
      </c>
      <c r="O75" s="7">
        <f t="shared" si="19"/>
        <v>0</v>
      </c>
      <c r="P75" s="7">
        <f t="shared" si="19"/>
        <v>0</v>
      </c>
      <c r="Q75" s="7">
        <f t="shared" si="19"/>
        <v>0</v>
      </c>
    </row>
    <row r="77" spans="1:17">
      <c r="A77" s="1" t="s">
        <v>5</v>
      </c>
    </row>
    <row r="78" spans="1:17">
      <c r="B78" t="s">
        <v>14</v>
      </c>
      <c r="C78">
        <f>C42+C43*C7</f>
        <v>25</v>
      </c>
    </row>
    <row r="79" spans="1:17">
      <c r="B79" t="s">
        <v>12</v>
      </c>
      <c r="C79">
        <f t="shared" ref="C79:Q79" si="20">IF(C47&lt;$C$15+$C$44,$C$78/$C$44,0)</f>
        <v>2.5</v>
      </c>
      <c r="D79">
        <f t="shared" si="20"/>
        <v>2.5</v>
      </c>
      <c r="E79">
        <f t="shared" si="20"/>
        <v>2.5</v>
      </c>
      <c r="F79">
        <f t="shared" si="20"/>
        <v>2.5</v>
      </c>
      <c r="G79">
        <f t="shared" si="20"/>
        <v>2.5</v>
      </c>
      <c r="H79">
        <f t="shared" si="20"/>
        <v>2.5</v>
      </c>
      <c r="I79">
        <f t="shared" si="20"/>
        <v>2.5</v>
      </c>
      <c r="J79">
        <f t="shared" si="20"/>
        <v>2.5</v>
      </c>
      <c r="K79">
        <f t="shared" si="20"/>
        <v>2.5</v>
      </c>
      <c r="L79">
        <f t="shared" si="20"/>
        <v>2.5</v>
      </c>
      <c r="M79">
        <f t="shared" si="20"/>
        <v>0</v>
      </c>
      <c r="N79">
        <f t="shared" si="20"/>
        <v>0</v>
      </c>
      <c r="O79">
        <f t="shared" si="20"/>
        <v>0</v>
      </c>
      <c r="P79">
        <f t="shared" si="20"/>
        <v>0</v>
      </c>
      <c r="Q79">
        <f t="shared" si="20"/>
        <v>0</v>
      </c>
    </row>
    <row r="81" spans="1:17">
      <c r="A81" s="1" t="s">
        <v>6</v>
      </c>
    </row>
    <row r="82" spans="1:17">
      <c r="B82" t="s">
        <v>3</v>
      </c>
      <c r="C82" s="8">
        <f>C70</f>
        <v>0</v>
      </c>
      <c r="D82" s="8">
        <f t="shared" ref="D82:Q82" si="21">D70</f>
        <v>0</v>
      </c>
      <c r="E82" s="8">
        <f t="shared" si="21"/>
        <v>165</v>
      </c>
      <c r="F82" s="8">
        <f t="shared" si="21"/>
        <v>180</v>
      </c>
      <c r="G82" s="8">
        <f t="shared" si="21"/>
        <v>195.00000000000006</v>
      </c>
      <c r="H82" s="8">
        <f t="shared" si="21"/>
        <v>209.99999999999994</v>
      </c>
      <c r="I82" s="8">
        <f t="shared" si="21"/>
        <v>18.000000000000004</v>
      </c>
      <c r="J82" s="8">
        <f t="shared" si="21"/>
        <v>18.000000000000004</v>
      </c>
      <c r="K82" s="8">
        <f t="shared" si="21"/>
        <v>18.000000000000004</v>
      </c>
      <c r="L82" s="8">
        <f t="shared" si="21"/>
        <v>18.000000000000004</v>
      </c>
      <c r="M82" s="8">
        <f t="shared" si="21"/>
        <v>0</v>
      </c>
      <c r="N82" s="8">
        <f t="shared" si="21"/>
        <v>0</v>
      </c>
      <c r="O82" s="8">
        <f t="shared" si="21"/>
        <v>0</v>
      </c>
      <c r="P82" s="8">
        <f t="shared" si="21"/>
        <v>0</v>
      </c>
      <c r="Q82" s="8">
        <f t="shared" si="21"/>
        <v>0</v>
      </c>
    </row>
    <row r="83" spans="1:17">
      <c r="B83" t="s">
        <v>8</v>
      </c>
      <c r="C83" s="8">
        <f>C75</f>
        <v>0</v>
      </c>
      <c r="D83" s="8">
        <f t="shared" ref="D83:Q83" si="22">D75</f>
        <v>0</v>
      </c>
      <c r="E83" s="8">
        <f t="shared" si="22"/>
        <v>75</v>
      </c>
      <c r="F83" s="8">
        <f t="shared" si="22"/>
        <v>75</v>
      </c>
      <c r="G83" s="8">
        <f t="shared" si="22"/>
        <v>75.000000000000028</v>
      </c>
      <c r="H83" s="8">
        <f t="shared" si="22"/>
        <v>74.999999999999972</v>
      </c>
      <c r="I83" s="8">
        <f t="shared" si="22"/>
        <v>0</v>
      </c>
      <c r="J83" s="8">
        <f t="shared" si="22"/>
        <v>0</v>
      </c>
      <c r="K83" s="8">
        <f t="shared" si="22"/>
        <v>0</v>
      </c>
      <c r="L83" s="8">
        <f t="shared" si="22"/>
        <v>0</v>
      </c>
      <c r="M83" s="8">
        <f t="shared" si="22"/>
        <v>0</v>
      </c>
      <c r="N83" s="8">
        <f t="shared" si="22"/>
        <v>0</v>
      </c>
      <c r="O83" s="8">
        <f t="shared" si="22"/>
        <v>0</v>
      </c>
      <c r="P83" s="8">
        <f t="shared" si="22"/>
        <v>0</v>
      </c>
      <c r="Q83" s="8">
        <f t="shared" si="22"/>
        <v>0</v>
      </c>
    </row>
    <row r="84" spans="1:17">
      <c r="B84" t="s">
        <v>9</v>
      </c>
      <c r="C84" s="8">
        <f>C82-C83</f>
        <v>0</v>
      </c>
      <c r="D84" s="8">
        <f t="shared" ref="D84:Q84" si="23">D82-D83</f>
        <v>0</v>
      </c>
      <c r="E84" s="8">
        <f t="shared" si="23"/>
        <v>90</v>
      </c>
      <c r="F84" s="8">
        <f t="shared" si="23"/>
        <v>105</v>
      </c>
      <c r="G84" s="8">
        <f t="shared" si="23"/>
        <v>120.00000000000003</v>
      </c>
      <c r="H84" s="8">
        <f t="shared" si="23"/>
        <v>134.99999999999997</v>
      </c>
      <c r="I84" s="8">
        <f t="shared" si="23"/>
        <v>18.000000000000004</v>
      </c>
      <c r="J84" s="8">
        <f t="shared" si="23"/>
        <v>18.000000000000004</v>
      </c>
      <c r="K84" s="8">
        <f t="shared" si="23"/>
        <v>18.000000000000004</v>
      </c>
      <c r="L84" s="8">
        <f t="shared" si="23"/>
        <v>18.000000000000004</v>
      </c>
      <c r="M84" s="8">
        <f t="shared" si="23"/>
        <v>0</v>
      </c>
      <c r="N84" s="8">
        <f t="shared" si="23"/>
        <v>0</v>
      </c>
      <c r="O84" s="8">
        <f t="shared" si="23"/>
        <v>0</v>
      </c>
      <c r="P84" s="8">
        <f t="shared" si="23"/>
        <v>0</v>
      </c>
      <c r="Q84" s="8">
        <f t="shared" si="23"/>
        <v>0</v>
      </c>
    </row>
    <row r="85" spans="1:17">
      <c r="B85" t="s">
        <v>12</v>
      </c>
      <c r="C85" s="8">
        <f>C79</f>
        <v>2.5</v>
      </c>
      <c r="D85" s="8">
        <f t="shared" ref="D85:Q85" si="24">D79</f>
        <v>2.5</v>
      </c>
      <c r="E85" s="8">
        <f t="shared" si="24"/>
        <v>2.5</v>
      </c>
      <c r="F85" s="8">
        <f t="shared" si="24"/>
        <v>2.5</v>
      </c>
      <c r="G85" s="8">
        <f t="shared" si="24"/>
        <v>2.5</v>
      </c>
      <c r="H85" s="8">
        <f t="shared" si="24"/>
        <v>2.5</v>
      </c>
      <c r="I85" s="8">
        <f t="shared" si="24"/>
        <v>2.5</v>
      </c>
      <c r="J85" s="8">
        <f t="shared" si="24"/>
        <v>2.5</v>
      </c>
      <c r="K85" s="8">
        <f t="shared" si="24"/>
        <v>2.5</v>
      </c>
      <c r="L85" s="8">
        <f t="shared" si="24"/>
        <v>2.5</v>
      </c>
      <c r="M85" s="8">
        <f t="shared" si="24"/>
        <v>0</v>
      </c>
      <c r="N85" s="8">
        <f t="shared" si="24"/>
        <v>0</v>
      </c>
      <c r="O85" s="8">
        <f t="shared" si="24"/>
        <v>0</v>
      </c>
      <c r="P85" s="8">
        <f t="shared" si="24"/>
        <v>0</v>
      </c>
      <c r="Q85" s="8">
        <f t="shared" si="24"/>
        <v>0</v>
      </c>
    </row>
    <row r="86" spans="1:17">
      <c r="B86" t="s">
        <v>10</v>
      </c>
      <c r="C86" s="8">
        <f>(C84-C85)*$C$16</f>
        <v>-1</v>
      </c>
      <c r="D86" s="8">
        <f t="shared" ref="D86:Q86" si="25">(D84-D85)*$C$16</f>
        <v>-1</v>
      </c>
      <c r="E86" s="8">
        <f t="shared" si="25"/>
        <v>35</v>
      </c>
      <c r="F86" s="8">
        <f t="shared" si="25"/>
        <v>41</v>
      </c>
      <c r="G86" s="8">
        <f t="shared" si="25"/>
        <v>47.000000000000014</v>
      </c>
      <c r="H86" s="8">
        <f t="shared" si="25"/>
        <v>52.999999999999993</v>
      </c>
      <c r="I86" s="8">
        <f t="shared" si="25"/>
        <v>6.200000000000002</v>
      </c>
      <c r="J86" s="8">
        <f t="shared" si="25"/>
        <v>6.200000000000002</v>
      </c>
      <c r="K86" s="8">
        <f t="shared" si="25"/>
        <v>6.200000000000002</v>
      </c>
      <c r="L86" s="8">
        <f t="shared" si="25"/>
        <v>6.200000000000002</v>
      </c>
      <c r="M86" s="8">
        <f t="shared" si="25"/>
        <v>0</v>
      </c>
      <c r="N86" s="8">
        <f t="shared" si="25"/>
        <v>0</v>
      </c>
      <c r="O86" s="8">
        <f t="shared" si="25"/>
        <v>0</v>
      </c>
      <c r="P86" s="8">
        <f t="shared" si="25"/>
        <v>0</v>
      </c>
      <c r="Q86" s="8">
        <f t="shared" si="25"/>
        <v>0</v>
      </c>
    </row>
    <row r="87" spans="1:17">
      <c r="B87" t="s">
        <v>11</v>
      </c>
      <c r="C87" s="8">
        <f>C84-C85-C86</f>
        <v>-1.5</v>
      </c>
      <c r="D87" s="8">
        <f t="shared" ref="D87:Q87" si="26">D84-D85-D86</f>
        <v>-1.5</v>
      </c>
      <c r="E87" s="8">
        <f t="shared" si="26"/>
        <v>52.5</v>
      </c>
      <c r="F87" s="8">
        <f t="shared" si="26"/>
        <v>61.5</v>
      </c>
      <c r="G87" s="8">
        <f t="shared" si="26"/>
        <v>70.500000000000014</v>
      </c>
      <c r="H87" s="8">
        <f t="shared" si="26"/>
        <v>79.499999999999972</v>
      </c>
      <c r="I87" s="8">
        <f t="shared" si="26"/>
        <v>9.3000000000000007</v>
      </c>
      <c r="J87" s="8">
        <f t="shared" si="26"/>
        <v>9.3000000000000007</v>
      </c>
      <c r="K87" s="8">
        <f t="shared" si="26"/>
        <v>9.3000000000000007</v>
      </c>
      <c r="L87" s="8">
        <f t="shared" si="26"/>
        <v>9.3000000000000007</v>
      </c>
      <c r="M87" s="8">
        <f t="shared" si="26"/>
        <v>0</v>
      </c>
      <c r="N87" s="8">
        <f t="shared" si="26"/>
        <v>0</v>
      </c>
      <c r="O87" s="8">
        <f t="shared" si="26"/>
        <v>0</v>
      </c>
      <c r="P87" s="8">
        <f t="shared" si="26"/>
        <v>0</v>
      </c>
      <c r="Q87" s="8">
        <f t="shared" si="26"/>
        <v>0</v>
      </c>
    </row>
    <row r="88" spans="1:17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1" t="s">
        <v>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B90" t="s">
        <v>11</v>
      </c>
      <c r="C90" s="8">
        <f>C87</f>
        <v>-1.5</v>
      </c>
      <c r="D90" s="8">
        <f t="shared" ref="D90:J90" si="27">D87</f>
        <v>-1.5</v>
      </c>
      <c r="E90" s="8">
        <f t="shared" si="27"/>
        <v>52.5</v>
      </c>
      <c r="F90" s="8">
        <f t="shared" si="27"/>
        <v>61.5</v>
      </c>
      <c r="G90" s="8">
        <f t="shared" si="27"/>
        <v>70.500000000000014</v>
      </c>
      <c r="H90" s="8">
        <f t="shared" si="27"/>
        <v>79.499999999999972</v>
      </c>
      <c r="I90" s="8">
        <f t="shared" si="27"/>
        <v>9.3000000000000007</v>
      </c>
      <c r="J90" s="8">
        <f t="shared" si="27"/>
        <v>9.3000000000000007</v>
      </c>
      <c r="K90" s="8">
        <f t="shared" ref="K90:Q90" si="28">K87</f>
        <v>9.3000000000000007</v>
      </c>
      <c r="L90" s="8">
        <f t="shared" si="28"/>
        <v>9.3000000000000007</v>
      </c>
      <c r="M90" s="8">
        <f t="shared" si="28"/>
        <v>0</v>
      </c>
      <c r="N90" s="8">
        <f t="shared" si="28"/>
        <v>0</v>
      </c>
      <c r="O90" s="8">
        <f t="shared" si="28"/>
        <v>0</v>
      </c>
      <c r="P90" s="8">
        <f t="shared" si="28"/>
        <v>0</v>
      </c>
      <c r="Q90" s="8">
        <f t="shared" si="28"/>
        <v>0</v>
      </c>
    </row>
    <row r="91" spans="1:17">
      <c r="B91" t="s">
        <v>12</v>
      </c>
      <c r="C91" s="8">
        <f>C79</f>
        <v>2.5</v>
      </c>
      <c r="D91" s="8">
        <f t="shared" ref="D91:J91" si="29">D79</f>
        <v>2.5</v>
      </c>
      <c r="E91" s="8">
        <f t="shared" si="29"/>
        <v>2.5</v>
      </c>
      <c r="F91" s="8">
        <f t="shared" si="29"/>
        <v>2.5</v>
      </c>
      <c r="G91" s="8">
        <f t="shared" si="29"/>
        <v>2.5</v>
      </c>
      <c r="H91" s="8">
        <f t="shared" si="29"/>
        <v>2.5</v>
      </c>
      <c r="I91" s="8">
        <f t="shared" si="29"/>
        <v>2.5</v>
      </c>
      <c r="J91" s="8">
        <f t="shared" si="29"/>
        <v>2.5</v>
      </c>
      <c r="K91" s="8">
        <f t="shared" ref="K91:Q91" si="30">K79</f>
        <v>2.5</v>
      </c>
      <c r="L91" s="8">
        <f t="shared" si="30"/>
        <v>2.5</v>
      </c>
      <c r="M91" s="8">
        <f t="shared" si="30"/>
        <v>0</v>
      </c>
      <c r="N91" s="8">
        <f t="shared" si="30"/>
        <v>0</v>
      </c>
      <c r="O91" s="8">
        <f t="shared" si="30"/>
        <v>0</v>
      </c>
      <c r="P91" s="8">
        <f t="shared" si="30"/>
        <v>0</v>
      </c>
      <c r="Q91" s="8">
        <f t="shared" si="30"/>
        <v>0</v>
      </c>
    </row>
    <row r="92" spans="1:17">
      <c r="B92" t="s">
        <v>13</v>
      </c>
      <c r="C92" s="8">
        <f>C78</f>
        <v>25</v>
      </c>
      <c r="D92" s="8">
        <f t="shared" ref="D92:J92" si="31">D78</f>
        <v>0</v>
      </c>
      <c r="E92" s="8">
        <f t="shared" si="31"/>
        <v>0</v>
      </c>
      <c r="F92" s="8">
        <f t="shared" si="31"/>
        <v>0</v>
      </c>
      <c r="G92" s="8">
        <f t="shared" si="31"/>
        <v>0</v>
      </c>
      <c r="H92" s="8">
        <f t="shared" si="31"/>
        <v>0</v>
      </c>
      <c r="I92" s="8">
        <f t="shared" si="31"/>
        <v>0</v>
      </c>
      <c r="J92" s="8">
        <f t="shared" si="31"/>
        <v>0</v>
      </c>
      <c r="K92" s="8">
        <f t="shared" ref="K92:Q92" si="32">K78</f>
        <v>0</v>
      </c>
      <c r="L92" s="8">
        <f t="shared" si="32"/>
        <v>0</v>
      </c>
      <c r="M92" s="8">
        <f t="shared" si="32"/>
        <v>0</v>
      </c>
      <c r="N92" s="8">
        <f t="shared" si="32"/>
        <v>0</v>
      </c>
      <c r="O92" s="8">
        <f t="shared" si="32"/>
        <v>0</v>
      </c>
      <c r="P92" s="8">
        <f t="shared" si="32"/>
        <v>0</v>
      </c>
      <c r="Q92" s="8">
        <f t="shared" si="32"/>
        <v>0</v>
      </c>
    </row>
    <row r="93" spans="1:17">
      <c r="B93" t="s">
        <v>18</v>
      </c>
      <c r="C93" s="8">
        <f>C90+C91-C92</f>
        <v>-24</v>
      </c>
      <c r="D93" s="8">
        <f t="shared" ref="D93:J93" si="33">D90+D91-D92</f>
        <v>1</v>
      </c>
      <c r="E93" s="8">
        <f t="shared" si="33"/>
        <v>55</v>
      </c>
      <c r="F93" s="8">
        <f t="shared" si="33"/>
        <v>64</v>
      </c>
      <c r="G93" s="8">
        <f t="shared" si="33"/>
        <v>73.000000000000014</v>
      </c>
      <c r="H93" s="8">
        <f t="shared" si="33"/>
        <v>81.999999999999972</v>
      </c>
      <c r="I93" s="8">
        <f t="shared" si="33"/>
        <v>11.8</v>
      </c>
      <c r="J93" s="8">
        <f t="shared" si="33"/>
        <v>11.8</v>
      </c>
      <c r="K93" s="8">
        <f t="shared" ref="K93:Q93" si="34">K90+K91-K92</f>
        <v>11.8</v>
      </c>
      <c r="L93" s="8">
        <f t="shared" si="34"/>
        <v>11.8</v>
      </c>
      <c r="M93" s="8">
        <f t="shared" si="34"/>
        <v>0</v>
      </c>
      <c r="N93" s="8">
        <f t="shared" si="34"/>
        <v>0</v>
      </c>
      <c r="O93" s="8">
        <f t="shared" si="34"/>
        <v>0</v>
      </c>
      <c r="P93" s="8">
        <f t="shared" si="34"/>
        <v>0</v>
      </c>
      <c r="Q93" s="8">
        <f t="shared" si="34"/>
        <v>0</v>
      </c>
    </row>
    <row r="95" spans="1:17">
      <c r="A95" s="1" t="s">
        <v>44</v>
      </c>
      <c r="B95" s="9">
        <f>C93+NPV(C17,D93:Q93)</f>
        <v>194.44851150686523</v>
      </c>
    </row>
  </sheetData>
  <phoneticPr fontId="2" type="noConversion"/>
  <printOptions headings="1"/>
  <pageMargins left="0.75" right="0.31" top="0.59" bottom="0.61" header="0.5" footer="0.5"/>
  <pageSetup scale="46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5"/>
  <sheetViews>
    <sheetView showFormulas="1" zoomScale="30" zoomScaleNormal="30" workbookViewId="0">
      <selection activeCell="C98" sqref="C98"/>
    </sheetView>
  </sheetViews>
  <sheetFormatPr defaultRowHeight="15.75"/>
  <cols>
    <col min="1" max="1" width="11.375" style="1" bestFit="1" customWidth="1"/>
    <col min="2" max="2" width="15.375" bestFit="1" customWidth="1"/>
    <col min="3" max="3" width="57.125" bestFit="1" customWidth="1"/>
    <col min="9" max="9" width="11.125" bestFit="1" customWidth="1"/>
  </cols>
  <sheetData>
    <row r="1" spans="1:11">
      <c r="A1" s="1" t="s">
        <v>0</v>
      </c>
      <c r="B1" s="1" t="s">
        <v>75</v>
      </c>
    </row>
    <row r="3" spans="1:11">
      <c r="A3" s="2"/>
    </row>
    <row r="5" spans="1:11" ht="16.5" thickBot="1"/>
    <row r="6" spans="1:11" ht="16.5" thickBot="1">
      <c r="A6" s="12" t="s">
        <v>57</v>
      </c>
      <c r="B6" s="1"/>
      <c r="E6" s="10" t="s">
        <v>44</v>
      </c>
      <c r="F6" s="11">
        <f>B95</f>
        <v>194.44851150686523</v>
      </c>
      <c r="H6" t="s">
        <v>58</v>
      </c>
      <c r="K6" t="s">
        <v>63</v>
      </c>
    </row>
    <row r="7" spans="1:11">
      <c r="B7" t="s">
        <v>1</v>
      </c>
      <c r="C7">
        <v>0</v>
      </c>
      <c r="I7" t="s">
        <v>59</v>
      </c>
      <c r="J7" s="6">
        <v>194.44851150686523</v>
      </c>
      <c r="K7" s="17">
        <f>(F6-J7)/J7</f>
        <v>0</v>
      </c>
    </row>
    <row r="8" spans="1:11">
      <c r="I8" t="s">
        <v>60</v>
      </c>
      <c r="J8" s="6">
        <v>211.66526358993758</v>
      </c>
      <c r="K8" s="5">
        <f>(F6-J8)/J8</f>
        <v>-8.1339525395279944E-2</v>
      </c>
    </row>
    <row r="9" spans="1:11">
      <c r="A9" s="1" t="s">
        <v>2</v>
      </c>
    </row>
    <row r="10" spans="1:11">
      <c r="B10" s="3" t="s">
        <v>23</v>
      </c>
      <c r="E10" s="1" t="s">
        <v>78</v>
      </c>
    </row>
    <row r="11" spans="1:11">
      <c r="B11" t="s">
        <v>19</v>
      </c>
      <c r="C11">
        <v>600</v>
      </c>
      <c r="E11">
        <v>600</v>
      </c>
    </row>
    <row r="12" spans="1:11">
      <c r="B12" t="s">
        <v>20</v>
      </c>
      <c r="C12">
        <v>450</v>
      </c>
      <c r="E12">
        <v>450</v>
      </c>
    </row>
    <row r="13" spans="1:11">
      <c r="B13" t="s">
        <v>21</v>
      </c>
      <c r="C13">
        <v>140</v>
      </c>
      <c r="E13">
        <v>140</v>
      </c>
    </row>
    <row r="15" spans="1:11">
      <c r="B15" t="s">
        <v>28</v>
      </c>
      <c r="C15">
        <v>2009</v>
      </c>
      <c r="E15">
        <v>2009</v>
      </c>
    </row>
    <row r="16" spans="1:11">
      <c r="B16" t="s">
        <v>42</v>
      </c>
      <c r="C16" s="4">
        <v>0.4</v>
      </c>
      <c r="E16">
        <v>0.4</v>
      </c>
    </row>
    <row r="17" spans="2:5">
      <c r="B17" t="s">
        <v>43</v>
      </c>
      <c r="C17" s="4">
        <v>0.1</v>
      </c>
      <c r="E17">
        <v>0.1</v>
      </c>
    </row>
    <row r="19" spans="2:5">
      <c r="B19" t="s">
        <v>26</v>
      </c>
    </row>
    <row r="20" spans="2:5">
      <c r="B20" t="s">
        <v>27</v>
      </c>
      <c r="C20">
        <v>2010</v>
      </c>
      <c r="E20">
        <v>2010</v>
      </c>
    </row>
    <row r="21" spans="2:5">
      <c r="B21" s="3" t="s">
        <v>45</v>
      </c>
      <c r="C21">
        <v>2014</v>
      </c>
      <c r="E21">
        <v>2014</v>
      </c>
    </row>
    <row r="22" spans="2:5">
      <c r="B22" s="18" t="s">
        <v>76</v>
      </c>
      <c r="C22" s="4">
        <v>0</v>
      </c>
      <c r="E22">
        <v>0</v>
      </c>
    </row>
    <row r="23" spans="2:5">
      <c r="B23" s="18" t="s">
        <v>77</v>
      </c>
      <c r="C23" s="4">
        <v>0.1</v>
      </c>
      <c r="E23">
        <v>0.1</v>
      </c>
    </row>
    <row r="24" spans="2:5">
      <c r="B24" t="s">
        <v>48</v>
      </c>
      <c r="C24" s="6">
        <v>1</v>
      </c>
      <c r="E24">
        <v>1</v>
      </c>
    </row>
    <row r="25" spans="2:5">
      <c r="B25" t="s">
        <v>50</v>
      </c>
      <c r="C25" s="6">
        <f>MAX(C21-C7*C24,C20)</f>
        <v>2014</v>
      </c>
      <c r="E25">
        <v>2014</v>
      </c>
    </row>
    <row r="27" spans="2:5">
      <c r="B27" s="3" t="s">
        <v>55</v>
      </c>
    </row>
    <row r="28" spans="2:5">
      <c r="B28" t="s">
        <v>29</v>
      </c>
      <c r="C28">
        <v>2015</v>
      </c>
      <c r="E28">
        <v>2015</v>
      </c>
    </row>
    <row r="29" spans="2:5">
      <c r="B29" s="3" t="s">
        <v>56</v>
      </c>
      <c r="C29" s="4">
        <v>0.7</v>
      </c>
      <c r="E29">
        <v>0.7</v>
      </c>
    </row>
    <row r="30" spans="2:5">
      <c r="C30" s="4"/>
    </row>
    <row r="31" spans="2:5">
      <c r="B31" t="s">
        <v>54</v>
      </c>
      <c r="C31" s="4"/>
    </row>
    <row r="32" spans="2:5">
      <c r="B32" t="s">
        <v>29</v>
      </c>
      <c r="C32">
        <v>2019</v>
      </c>
      <c r="E32">
        <v>2019</v>
      </c>
    </row>
    <row r="33" spans="1:17">
      <c r="B33" s="3" t="s">
        <v>56</v>
      </c>
      <c r="C33" s="4">
        <v>1</v>
      </c>
      <c r="E33">
        <v>1</v>
      </c>
    </row>
    <row r="34" spans="1:17">
      <c r="C34" s="4"/>
    </row>
    <row r="35" spans="1:17">
      <c r="B35" t="s">
        <v>33</v>
      </c>
      <c r="C35" s="4"/>
    </row>
    <row r="36" spans="1:17">
      <c r="B36" t="s">
        <v>34</v>
      </c>
      <c r="C36" s="6">
        <v>10</v>
      </c>
      <c r="E36">
        <v>10</v>
      </c>
    </row>
    <row r="37" spans="1:17">
      <c r="B37" t="s">
        <v>35</v>
      </c>
      <c r="C37" s="6">
        <v>1</v>
      </c>
      <c r="E37">
        <v>1</v>
      </c>
    </row>
    <row r="38" spans="1:17">
      <c r="C38" s="4"/>
    </row>
    <row r="39" spans="1:17">
      <c r="B39" t="s">
        <v>39</v>
      </c>
      <c r="C39" s="4"/>
    </row>
    <row r="40" spans="1:17">
      <c r="B40" t="s">
        <v>40</v>
      </c>
      <c r="C40" s="6">
        <v>4</v>
      </c>
      <c r="E40">
        <v>4</v>
      </c>
    </row>
    <row r="41" spans="1:17">
      <c r="B41" t="s">
        <v>41</v>
      </c>
      <c r="C41" s="6">
        <v>15</v>
      </c>
      <c r="E41">
        <v>15</v>
      </c>
    </row>
    <row r="42" spans="1:17">
      <c r="B42" s="3" t="s">
        <v>51</v>
      </c>
      <c r="C42">
        <v>25</v>
      </c>
      <c r="E42">
        <v>25</v>
      </c>
    </row>
    <row r="43" spans="1:17">
      <c r="B43" s="3" t="s">
        <v>52</v>
      </c>
      <c r="C43">
        <v>20</v>
      </c>
      <c r="E43">
        <v>20</v>
      </c>
    </row>
    <row r="44" spans="1:17">
      <c r="B44" s="3" t="s">
        <v>53</v>
      </c>
      <c r="C44">
        <v>10</v>
      </c>
      <c r="E44">
        <v>10</v>
      </c>
    </row>
    <row r="45" spans="1:17">
      <c r="B45" t="s">
        <v>49</v>
      </c>
      <c r="C45" s="4">
        <v>0.5</v>
      </c>
      <c r="E45">
        <v>0.5</v>
      </c>
    </row>
    <row r="47" spans="1:17">
      <c r="C47" s="1">
        <f>C15</f>
        <v>2009</v>
      </c>
      <c r="D47" s="1">
        <f>C47+1</f>
        <v>2010</v>
      </c>
      <c r="E47" s="1">
        <f t="shared" ref="E47:Q47" si="0">D47+1</f>
        <v>2011</v>
      </c>
      <c r="F47" s="1">
        <f t="shared" si="0"/>
        <v>2012</v>
      </c>
      <c r="G47" s="1">
        <f t="shared" si="0"/>
        <v>2013</v>
      </c>
      <c r="H47" s="1">
        <f t="shared" si="0"/>
        <v>2014</v>
      </c>
      <c r="I47" s="1">
        <f t="shared" si="0"/>
        <v>2015</v>
      </c>
      <c r="J47" s="1">
        <f t="shared" si="0"/>
        <v>2016</v>
      </c>
      <c r="K47" s="1">
        <f t="shared" si="0"/>
        <v>2017</v>
      </c>
      <c r="L47" s="1">
        <f t="shared" si="0"/>
        <v>2018</v>
      </c>
      <c r="M47" s="1">
        <f t="shared" si="0"/>
        <v>2019</v>
      </c>
      <c r="N47" s="1">
        <f t="shared" si="0"/>
        <v>2020</v>
      </c>
      <c r="O47" s="1">
        <f t="shared" si="0"/>
        <v>2021</v>
      </c>
      <c r="P47" s="1">
        <f t="shared" si="0"/>
        <v>2022</v>
      </c>
      <c r="Q47" s="1">
        <f t="shared" si="0"/>
        <v>2023</v>
      </c>
    </row>
    <row r="48" spans="1:17">
      <c r="A48" s="1" t="s">
        <v>3</v>
      </c>
    </row>
    <row r="49" spans="2:17">
      <c r="B49" s="3" t="s">
        <v>23</v>
      </c>
    </row>
    <row r="50" spans="2:17">
      <c r="B50" t="s">
        <v>19</v>
      </c>
      <c r="C50">
        <f>C11</f>
        <v>600</v>
      </c>
      <c r="D50">
        <f>C50</f>
        <v>600</v>
      </c>
      <c r="E50">
        <f t="shared" ref="E50:Q50" si="1">D50</f>
        <v>600</v>
      </c>
      <c r="F50">
        <f t="shared" si="1"/>
        <v>600</v>
      </c>
      <c r="G50">
        <f t="shared" si="1"/>
        <v>600</v>
      </c>
      <c r="H50">
        <f t="shared" si="1"/>
        <v>600</v>
      </c>
      <c r="I50">
        <f t="shared" si="1"/>
        <v>600</v>
      </c>
      <c r="J50">
        <f t="shared" si="1"/>
        <v>600</v>
      </c>
      <c r="K50">
        <f t="shared" si="1"/>
        <v>600</v>
      </c>
      <c r="L50">
        <f t="shared" si="1"/>
        <v>600</v>
      </c>
      <c r="M50">
        <f t="shared" si="1"/>
        <v>600</v>
      </c>
      <c r="N50">
        <f t="shared" si="1"/>
        <v>600</v>
      </c>
      <c r="O50">
        <f t="shared" si="1"/>
        <v>600</v>
      </c>
      <c r="P50">
        <f t="shared" si="1"/>
        <v>600</v>
      </c>
      <c r="Q50">
        <f t="shared" si="1"/>
        <v>600</v>
      </c>
    </row>
    <row r="51" spans="2:17">
      <c r="B51" t="s">
        <v>20</v>
      </c>
      <c r="C51">
        <f>C12</f>
        <v>450</v>
      </c>
      <c r="D51">
        <f t="shared" ref="D51:Q52" si="2">C51</f>
        <v>450</v>
      </c>
      <c r="E51">
        <f t="shared" si="2"/>
        <v>450</v>
      </c>
      <c r="F51">
        <f t="shared" si="2"/>
        <v>450</v>
      </c>
      <c r="G51">
        <f t="shared" si="2"/>
        <v>450</v>
      </c>
      <c r="H51">
        <f t="shared" si="2"/>
        <v>450</v>
      </c>
      <c r="I51">
        <f t="shared" si="2"/>
        <v>450</v>
      </c>
      <c r="J51">
        <f t="shared" si="2"/>
        <v>450</v>
      </c>
      <c r="K51">
        <f t="shared" si="2"/>
        <v>450</v>
      </c>
      <c r="L51">
        <f t="shared" si="2"/>
        <v>450</v>
      </c>
      <c r="M51">
        <f t="shared" si="2"/>
        <v>450</v>
      </c>
      <c r="N51">
        <f t="shared" si="2"/>
        <v>450</v>
      </c>
      <c r="O51">
        <f t="shared" si="2"/>
        <v>450</v>
      </c>
      <c r="P51">
        <f t="shared" si="2"/>
        <v>450</v>
      </c>
      <c r="Q51">
        <f t="shared" si="2"/>
        <v>450</v>
      </c>
    </row>
    <row r="52" spans="2:17">
      <c r="B52" t="s">
        <v>21</v>
      </c>
      <c r="C52">
        <f>C13</f>
        <v>140</v>
      </c>
      <c r="D52">
        <f t="shared" si="2"/>
        <v>140</v>
      </c>
      <c r="E52">
        <f t="shared" si="2"/>
        <v>140</v>
      </c>
      <c r="F52">
        <f t="shared" si="2"/>
        <v>140</v>
      </c>
      <c r="G52">
        <f t="shared" si="2"/>
        <v>140</v>
      </c>
      <c r="H52">
        <f t="shared" si="2"/>
        <v>140</v>
      </c>
      <c r="I52">
        <f t="shared" si="2"/>
        <v>140</v>
      </c>
      <c r="J52">
        <f t="shared" si="2"/>
        <v>140</v>
      </c>
      <c r="K52">
        <f t="shared" si="2"/>
        <v>140</v>
      </c>
      <c r="L52">
        <f t="shared" si="2"/>
        <v>140</v>
      </c>
      <c r="M52">
        <f t="shared" si="2"/>
        <v>140</v>
      </c>
      <c r="N52">
        <f t="shared" si="2"/>
        <v>140</v>
      </c>
      <c r="O52">
        <f t="shared" si="2"/>
        <v>140</v>
      </c>
      <c r="P52">
        <f t="shared" si="2"/>
        <v>140</v>
      </c>
      <c r="Q52">
        <f t="shared" si="2"/>
        <v>140</v>
      </c>
    </row>
    <row r="53" spans="2:17">
      <c r="B53" t="s">
        <v>22</v>
      </c>
      <c r="C53">
        <f>SUM(C50:C52)</f>
        <v>1190</v>
      </c>
      <c r="D53">
        <f t="shared" ref="D53:Q53" si="3">SUM(D50:D52)</f>
        <v>1190</v>
      </c>
      <c r="E53">
        <f t="shared" si="3"/>
        <v>1190</v>
      </c>
      <c r="F53">
        <f t="shared" si="3"/>
        <v>1190</v>
      </c>
      <c r="G53">
        <f t="shared" si="3"/>
        <v>1190</v>
      </c>
      <c r="H53">
        <f t="shared" si="3"/>
        <v>1190</v>
      </c>
      <c r="I53">
        <f t="shared" si="3"/>
        <v>1190</v>
      </c>
      <c r="J53">
        <f t="shared" si="3"/>
        <v>1190</v>
      </c>
      <c r="K53">
        <f t="shared" si="3"/>
        <v>1190</v>
      </c>
      <c r="L53">
        <f t="shared" si="3"/>
        <v>1190</v>
      </c>
      <c r="M53">
        <f t="shared" si="3"/>
        <v>1190</v>
      </c>
      <c r="N53">
        <f t="shared" si="3"/>
        <v>1190</v>
      </c>
      <c r="O53">
        <f t="shared" si="3"/>
        <v>1190</v>
      </c>
      <c r="P53">
        <f t="shared" si="3"/>
        <v>1190</v>
      </c>
      <c r="Q53">
        <f t="shared" si="3"/>
        <v>1190</v>
      </c>
    </row>
    <row r="55" spans="2:17">
      <c r="B55" t="s">
        <v>26</v>
      </c>
      <c r="C55" s="17">
        <f>IF(C47&lt;$C$20,0,IF(AND(C47=$C$20,C47&lt;&gt;$C$25),$C$22,IF(C47&lt;$C$25,($C$23-$C$22)/($C$25-$C$20)+B55,$C$23)))</f>
        <v>0</v>
      </c>
      <c r="D55" s="17">
        <f t="shared" ref="D55:Q55" si="4">IF(D47&lt;$C$20,0,IF(AND(D47=$C$20,D47&lt;&gt;$C$25),$C$22,IF(D47&lt;$C$25,($C$23-$C$22)/($C$25-$C$20)+C55,$C$23)))</f>
        <v>0</v>
      </c>
      <c r="E55" s="17">
        <f t="shared" si="4"/>
        <v>2.5000000000000001E-2</v>
      </c>
      <c r="F55" s="17">
        <f t="shared" si="4"/>
        <v>0.05</v>
      </c>
      <c r="G55" s="17">
        <f t="shared" si="4"/>
        <v>7.5000000000000011E-2</v>
      </c>
      <c r="H55" s="17">
        <f t="shared" si="4"/>
        <v>0.1</v>
      </c>
      <c r="I55" s="17">
        <f t="shared" si="4"/>
        <v>0.1</v>
      </c>
      <c r="J55" s="17">
        <f t="shared" si="4"/>
        <v>0.1</v>
      </c>
      <c r="K55" s="17">
        <f t="shared" si="4"/>
        <v>0.1</v>
      </c>
      <c r="L55" s="17">
        <f t="shared" si="4"/>
        <v>0.1</v>
      </c>
      <c r="M55" s="17">
        <f t="shared" si="4"/>
        <v>0.1</v>
      </c>
      <c r="N55" s="17">
        <f t="shared" si="4"/>
        <v>0.1</v>
      </c>
      <c r="O55" s="17">
        <f t="shared" si="4"/>
        <v>0.1</v>
      </c>
      <c r="P55" s="17">
        <f t="shared" si="4"/>
        <v>0.1</v>
      </c>
      <c r="Q55" s="17">
        <f t="shared" si="4"/>
        <v>0.1</v>
      </c>
    </row>
    <row r="57" spans="2:17">
      <c r="B57" t="s">
        <v>24</v>
      </c>
      <c r="C57">
        <f>C55*(C50+$C$7*(C51+C52))</f>
        <v>0</v>
      </c>
      <c r="D57">
        <f t="shared" ref="D57:Q57" si="5">D55*(D50+$C$7*(D51+D52))</f>
        <v>0</v>
      </c>
      <c r="E57">
        <f t="shared" si="5"/>
        <v>15</v>
      </c>
      <c r="F57">
        <f t="shared" si="5"/>
        <v>30</v>
      </c>
      <c r="G57">
        <f t="shared" si="5"/>
        <v>45.000000000000007</v>
      </c>
      <c r="H57">
        <f t="shared" si="5"/>
        <v>60</v>
      </c>
      <c r="I57">
        <f t="shared" si="5"/>
        <v>60</v>
      </c>
      <c r="J57">
        <f t="shared" si="5"/>
        <v>60</v>
      </c>
      <c r="K57">
        <f t="shared" si="5"/>
        <v>60</v>
      </c>
      <c r="L57">
        <f t="shared" si="5"/>
        <v>60</v>
      </c>
      <c r="M57">
        <f t="shared" si="5"/>
        <v>60</v>
      </c>
      <c r="N57">
        <f t="shared" si="5"/>
        <v>60</v>
      </c>
      <c r="O57">
        <f t="shared" si="5"/>
        <v>60</v>
      </c>
      <c r="P57">
        <f t="shared" si="5"/>
        <v>60</v>
      </c>
      <c r="Q57">
        <f t="shared" si="5"/>
        <v>60</v>
      </c>
    </row>
    <row r="58" spans="2:17">
      <c r="B58" t="s">
        <v>25</v>
      </c>
      <c r="C58">
        <f>0</f>
        <v>0</v>
      </c>
      <c r="D58">
        <f t="shared" ref="D58:Q58" si="6">D57-C57</f>
        <v>0</v>
      </c>
      <c r="E58">
        <f t="shared" si="6"/>
        <v>15</v>
      </c>
      <c r="F58">
        <f t="shared" si="6"/>
        <v>15</v>
      </c>
      <c r="G58">
        <f t="shared" si="6"/>
        <v>15.000000000000007</v>
      </c>
      <c r="H58">
        <f t="shared" si="6"/>
        <v>14.999999999999993</v>
      </c>
      <c r="I58">
        <f t="shared" si="6"/>
        <v>0</v>
      </c>
      <c r="J58">
        <f t="shared" si="6"/>
        <v>0</v>
      </c>
      <c r="K58">
        <f t="shared" si="6"/>
        <v>0</v>
      </c>
      <c r="L58">
        <f t="shared" si="6"/>
        <v>0</v>
      </c>
      <c r="M58">
        <f t="shared" si="6"/>
        <v>0</v>
      </c>
      <c r="N58">
        <f t="shared" si="6"/>
        <v>0</v>
      </c>
      <c r="O58">
        <f t="shared" si="6"/>
        <v>0</v>
      </c>
      <c r="P58">
        <f t="shared" si="6"/>
        <v>0</v>
      </c>
      <c r="Q58">
        <f t="shared" si="6"/>
        <v>0</v>
      </c>
    </row>
    <row r="59" spans="2:17">
      <c r="B59" t="s">
        <v>30</v>
      </c>
      <c r="C59" s="5">
        <f t="shared" ref="C59:G59" si="7">IF(AND(C47&lt;$C$28, C47&lt;$C$32),1,IF(AND(C47&gt;=$C$28, C47&lt;$C$32),1-$C$29, 1-$C$33))</f>
        <v>1</v>
      </c>
      <c r="D59" s="5">
        <f t="shared" si="7"/>
        <v>1</v>
      </c>
      <c r="E59" s="5">
        <f t="shared" si="7"/>
        <v>1</v>
      </c>
      <c r="F59" s="5">
        <f t="shared" si="7"/>
        <v>1</v>
      </c>
      <c r="G59" s="5">
        <f t="shared" si="7"/>
        <v>1</v>
      </c>
      <c r="H59" s="5">
        <f>IF(AND(H47&lt;$C$28, H47&lt;$C$32),1,IF(AND(H47&gt;=$C$28, H47&lt;$C$32),1-$C$29, 1-$C$33))</f>
        <v>1</v>
      </c>
      <c r="I59" s="5">
        <f t="shared" ref="I59:Q59" si="8">IF(AND(I47&lt;$C$28, I47&lt;$C$32),1,IF(AND(I47&gt;=$C$28, I47&lt;$C$32),1-$C$29, 1-$C$33))</f>
        <v>0.30000000000000004</v>
      </c>
      <c r="J59" s="5">
        <f t="shared" si="8"/>
        <v>0.30000000000000004</v>
      </c>
      <c r="K59" s="5">
        <f t="shared" si="8"/>
        <v>0.30000000000000004</v>
      </c>
      <c r="L59" s="5">
        <f t="shared" si="8"/>
        <v>0.30000000000000004</v>
      </c>
      <c r="M59" s="5">
        <f t="shared" si="8"/>
        <v>0</v>
      </c>
      <c r="N59" s="5">
        <f t="shared" si="8"/>
        <v>0</v>
      </c>
      <c r="O59" s="5">
        <f t="shared" si="8"/>
        <v>0</v>
      </c>
      <c r="P59" s="5">
        <f t="shared" si="8"/>
        <v>0</v>
      </c>
      <c r="Q59" s="5">
        <f t="shared" si="8"/>
        <v>0</v>
      </c>
    </row>
    <row r="61" spans="2:17">
      <c r="B61" t="s">
        <v>31</v>
      </c>
      <c r="C61">
        <f>+C59*C58</f>
        <v>0</v>
      </c>
      <c r="D61">
        <f t="shared" ref="D61:Q61" si="9">+D59*D58</f>
        <v>0</v>
      </c>
      <c r="E61">
        <f t="shared" si="9"/>
        <v>15</v>
      </c>
      <c r="F61">
        <f t="shared" si="9"/>
        <v>15</v>
      </c>
      <c r="G61">
        <f t="shared" si="9"/>
        <v>15.000000000000007</v>
      </c>
      <c r="H61">
        <f t="shared" si="9"/>
        <v>14.999999999999993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0</v>
      </c>
      <c r="N61">
        <f t="shared" si="9"/>
        <v>0</v>
      </c>
      <c r="O61">
        <f t="shared" si="9"/>
        <v>0</v>
      </c>
      <c r="P61">
        <f t="shared" si="9"/>
        <v>0</v>
      </c>
      <c r="Q61">
        <f t="shared" si="9"/>
        <v>0</v>
      </c>
    </row>
    <row r="62" spans="2:17">
      <c r="B62" t="s">
        <v>32</v>
      </c>
      <c r="C62">
        <v>0</v>
      </c>
      <c r="D62">
        <f>C62+D61</f>
        <v>0</v>
      </c>
      <c r="E62">
        <f t="shared" ref="E62:Q62" si="10">D62+E61</f>
        <v>15</v>
      </c>
      <c r="F62">
        <f t="shared" si="10"/>
        <v>30</v>
      </c>
      <c r="G62">
        <f t="shared" si="10"/>
        <v>45.000000000000007</v>
      </c>
      <c r="H62">
        <f t="shared" si="10"/>
        <v>60</v>
      </c>
      <c r="I62">
        <f t="shared" si="10"/>
        <v>60</v>
      </c>
      <c r="J62">
        <f t="shared" si="10"/>
        <v>60</v>
      </c>
      <c r="K62">
        <f t="shared" si="10"/>
        <v>60</v>
      </c>
      <c r="L62">
        <f t="shared" si="10"/>
        <v>60</v>
      </c>
      <c r="M62">
        <f t="shared" si="10"/>
        <v>60</v>
      </c>
      <c r="N62">
        <f t="shared" si="10"/>
        <v>60</v>
      </c>
      <c r="O62">
        <f t="shared" si="10"/>
        <v>60</v>
      </c>
      <c r="P62">
        <f t="shared" si="10"/>
        <v>60</v>
      </c>
      <c r="Q62">
        <f t="shared" si="10"/>
        <v>60</v>
      </c>
    </row>
    <row r="63" spans="2:17">
      <c r="B63" t="s">
        <v>36</v>
      </c>
      <c r="C63">
        <f>C62*C59</f>
        <v>0</v>
      </c>
      <c r="D63">
        <f t="shared" ref="D63:Q63" si="11">D62*D59</f>
        <v>0</v>
      </c>
      <c r="E63">
        <f t="shared" si="11"/>
        <v>15</v>
      </c>
      <c r="F63">
        <f t="shared" si="11"/>
        <v>30</v>
      </c>
      <c r="G63">
        <f t="shared" si="11"/>
        <v>45.000000000000007</v>
      </c>
      <c r="H63">
        <f t="shared" si="11"/>
        <v>60</v>
      </c>
      <c r="I63">
        <f t="shared" si="11"/>
        <v>18.000000000000004</v>
      </c>
      <c r="J63">
        <f t="shared" si="11"/>
        <v>18.000000000000004</v>
      </c>
      <c r="K63">
        <f t="shared" si="11"/>
        <v>18.000000000000004</v>
      </c>
      <c r="L63">
        <f t="shared" si="11"/>
        <v>18.000000000000004</v>
      </c>
      <c r="M63">
        <f t="shared" si="11"/>
        <v>0</v>
      </c>
      <c r="N63">
        <f t="shared" si="11"/>
        <v>0</v>
      </c>
      <c r="O63">
        <f t="shared" si="11"/>
        <v>0</v>
      </c>
      <c r="P63">
        <f t="shared" si="11"/>
        <v>0</v>
      </c>
      <c r="Q63">
        <f t="shared" si="11"/>
        <v>0</v>
      </c>
    </row>
    <row r="65" spans="1:17">
      <c r="B65" t="s">
        <v>37</v>
      </c>
    </row>
    <row r="66" spans="1:17">
      <c r="B66" t="s">
        <v>38</v>
      </c>
    </row>
    <row r="67" spans="1:17">
      <c r="B67" t="s">
        <v>46</v>
      </c>
      <c r="C67">
        <f t="shared" ref="C67:Q67" si="12">(1-$C$7)*C61*$C$36</f>
        <v>0</v>
      </c>
      <c r="D67">
        <f t="shared" si="12"/>
        <v>0</v>
      </c>
      <c r="E67">
        <f t="shared" si="12"/>
        <v>150</v>
      </c>
      <c r="F67">
        <f t="shared" si="12"/>
        <v>150</v>
      </c>
      <c r="G67">
        <f t="shared" si="12"/>
        <v>150.00000000000006</v>
      </c>
      <c r="H67">
        <f t="shared" si="12"/>
        <v>149.99999999999994</v>
      </c>
      <c r="I67">
        <f t="shared" si="12"/>
        <v>0</v>
      </c>
      <c r="J67">
        <f t="shared" si="12"/>
        <v>0</v>
      </c>
      <c r="K67">
        <f t="shared" si="12"/>
        <v>0</v>
      </c>
      <c r="L67">
        <f t="shared" si="12"/>
        <v>0</v>
      </c>
      <c r="M67">
        <f t="shared" si="12"/>
        <v>0</v>
      </c>
      <c r="N67">
        <f t="shared" si="12"/>
        <v>0</v>
      </c>
      <c r="O67">
        <f t="shared" si="12"/>
        <v>0</v>
      </c>
      <c r="P67">
        <f t="shared" si="12"/>
        <v>0</v>
      </c>
      <c r="Q67">
        <f t="shared" si="12"/>
        <v>0</v>
      </c>
    </row>
    <row r="68" spans="1:17">
      <c r="B68" t="s">
        <v>47</v>
      </c>
      <c r="C68">
        <f t="shared" ref="C68:Q68" si="13">$C$7*$C$45*C61*$C$36</f>
        <v>0</v>
      </c>
      <c r="D68">
        <f t="shared" si="13"/>
        <v>0</v>
      </c>
      <c r="E68">
        <f t="shared" si="13"/>
        <v>0</v>
      </c>
      <c r="F68">
        <f t="shared" si="13"/>
        <v>0</v>
      </c>
      <c r="G68">
        <f t="shared" si="13"/>
        <v>0</v>
      </c>
      <c r="H68">
        <f t="shared" si="13"/>
        <v>0</v>
      </c>
      <c r="I68">
        <f t="shared" si="13"/>
        <v>0</v>
      </c>
      <c r="J68">
        <f t="shared" si="13"/>
        <v>0</v>
      </c>
      <c r="K68">
        <f t="shared" si="13"/>
        <v>0</v>
      </c>
      <c r="L68">
        <f t="shared" si="13"/>
        <v>0</v>
      </c>
      <c r="M68">
        <f t="shared" si="13"/>
        <v>0</v>
      </c>
      <c r="N68">
        <f t="shared" si="13"/>
        <v>0</v>
      </c>
      <c r="O68">
        <f t="shared" si="13"/>
        <v>0</v>
      </c>
      <c r="P68">
        <f t="shared" si="13"/>
        <v>0</v>
      </c>
      <c r="Q68">
        <f t="shared" si="13"/>
        <v>0</v>
      </c>
    </row>
    <row r="69" spans="1:17">
      <c r="B69" t="s">
        <v>35</v>
      </c>
      <c r="C69">
        <f>C63*$C$37</f>
        <v>0</v>
      </c>
      <c r="D69">
        <f t="shared" ref="D69:Q69" si="14">D63*$C$37</f>
        <v>0</v>
      </c>
      <c r="E69">
        <f t="shared" si="14"/>
        <v>15</v>
      </c>
      <c r="F69">
        <f t="shared" si="14"/>
        <v>30</v>
      </c>
      <c r="G69">
        <f t="shared" si="14"/>
        <v>45.000000000000007</v>
      </c>
      <c r="H69">
        <f t="shared" si="14"/>
        <v>60</v>
      </c>
      <c r="I69">
        <f t="shared" si="14"/>
        <v>18.000000000000004</v>
      </c>
      <c r="J69">
        <f t="shared" si="14"/>
        <v>18.000000000000004</v>
      </c>
      <c r="K69">
        <f t="shared" si="14"/>
        <v>18.000000000000004</v>
      </c>
      <c r="L69">
        <f t="shared" si="14"/>
        <v>18.000000000000004</v>
      </c>
      <c r="M69">
        <f t="shared" si="14"/>
        <v>0</v>
      </c>
      <c r="N69">
        <f t="shared" si="14"/>
        <v>0</v>
      </c>
      <c r="O69">
        <f t="shared" si="14"/>
        <v>0</v>
      </c>
      <c r="P69">
        <f t="shared" si="14"/>
        <v>0</v>
      </c>
      <c r="Q69">
        <f t="shared" si="14"/>
        <v>0</v>
      </c>
    </row>
    <row r="70" spans="1:17">
      <c r="B70" t="s">
        <v>22</v>
      </c>
      <c r="C70">
        <f>SUM(C67:C69)</f>
        <v>0</v>
      </c>
      <c r="D70">
        <f t="shared" ref="D70:Q70" si="15">SUM(D67:D69)</f>
        <v>0</v>
      </c>
      <c r="E70">
        <f t="shared" si="15"/>
        <v>165</v>
      </c>
      <c r="F70">
        <f t="shared" si="15"/>
        <v>180</v>
      </c>
      <c r="G70">
        <f t="shared" si="15"/>
        <v>195.00000000000006</v>
      </c>
      <c r="H70">
        <f t="shared" si="15"/>
        <v>209.99999999999994</v>
      </c>
      <c r="I70">
        <f t="shared" si="15"/>
        <v>18.000000000000004</v>
      </c>
      <c r="J70">
        <f t="shared" si="15"/>
        <v>18.000000000000004</v>
      </c>
      <c r="K70">
        <f t="shared" si="15"/>
        <v>18.000000000000004</v>
      </c>
      <c r="L70">
        <f t="shared" si="15"/>
        <v>18.000000000000004</v>
      </c>
      <c r="M70">
        <f t="shared" si="15"/>
        <v>0</v>
      </c>
      <c r="N70">
        <f t="shared" si="15"/>
        <v>0</v>
      </c>
      <c r="O70">
        <f t="shared" si="15"/>
        <v>0</v>
      </c>
      <c r="P70">
        <f t="shared" si="15"/>
        <v>0</v>
      </c>
      <c r="Q70">
        <f t="shared" si="15"/>
        <v>0</v>
      </c>
    </row>
    <row r="72" spans="1:17">
      <c r="A72" s="1" t="s">
        <v>4</v>
      </c>
    </row>
    <row r="73" spans="1:17">
      <c r="B73" t="s">
        <v>16</v>
      </c>
      <c r="C73" s="7">
        <f>C61*$C$40</f>
        <v>0</v>
      </c>
      <c r="D73" s="7">
        <f t="shared" ref="D73:Q73" si="16">D61*$C$40</f>
        <v>0</v>
      </c>
      <c r="E73" s="7">
        <f t="shared" si="16"/>
        <v>60</v>
      </c>
      <c r="F73" s="7">
        <f t="shared" si="16"/>
        <v>60</v>
      </c>
      <c r="G73" s="7">
        <f t="shared" si="16"/>
        <v>60.000000000000028</v>
      </c>
      <c r="H73" s="7">
        <f t="shared" si="16"/>
        <v>59.999999999999972</v>
      </c>
      <c r="I73" s="7">
        <f t="shared" si="16"/>
        <v>0</v>
      </c>
      <c r="J73" s="7">
        <f t="shared" si="16"/>
        <v>0</v>
      </c>
      <c r="K73" s="7">
        <f t="shared" si="16"/>
        <v>0</v>
      </c>
      <c r="L73" s="7">
        <f t="shared" si="16"/>
        <v>0</v>
      </c>
      <c r="M73" s="7">
        <f t="shared" si="16"/>
        <v>0</v>
      </c>
      <c r="N73" s="7">
        <f t="shared" si="16"/>
        <v>0</v>
      </c>
      <c r="O73" s="7">
        <f t="shared" si="16"/>
        <v>0</v>
      </c>
      <c r="P73" s="7">
        <f t="shared" si="16"/>
        <v>0</v>
      </c>
      <c r="Q73" s="7">
        <f t="shared" si="16"/>
        <v>0</v>
      </c>
    </row>
    <row r="74" spans="1:17">
      <c r="B74" s="3" t="s">
        <v>17</v>
      </c>
      <c r="C74" s="7">
        <f t="shared" ref="C74:Q74" si="17">IF(C61&gt;0,$C$41,0)*(1-$C$7)</f>
        <v>0</v>
      </c>
      <c r="D74" s="7">
        <f t="shared" si="17"/>
        <v>0</v>
      </c>
      <c r="E74" s="7">
        <f t="shared" si="17"/>
        <v>15</v>
      </c>
      <c r="F74" s="7">
        <f t="shared" si="17"/>
        <v>15</v>
      </c>
      <c r="G74" s="7">
        <f t="shared" si="17"/>
        <v>15</v>
      </c>
      <c r="H74" s="7">
        <f t="shared" si="17"/>
        <v>15</v>
      </c>
      <c r="I74" s="7">
        <f t="shared" si="17"/>
        <v>0</v>
      </c>
      <c r="J74" s="7">
        <f t="shared" si="17"/>
        <v>0</v>
      </c>
      <c r="K74" s="7">
        <f t="shared" si="17"/>
        <v>0</v>
      </c>
      <c r="L74" s="7">
        <f t="shared" si="17"/>
        <v>0</v>
      </c>
      <c r="M74" s="7">
        <f t="shared" si="17"/>
        <v>0</v>
      </c>
      <c r="N74" s="7">
        <f t="shared" si="17"/>
        <v>0</v>
      </c>
      <c r="O74" s="7">
        <f t="shared" si="17"/>
        <v>0</v>
      </c>
      <c r="P74" s="7">
        <f t="shared" si="17"/>
        <v>0</v>
      </c>
      <c r="Q74" s="7">
        <f t="shared" si="17"/>
        <v>0</v>
      </c>
    </row>
    <row r="75" spans="1:17">
      <c r="B75" t="s">
        <v>15</v>
      </c>
      <c r="C75" s="7">
        <f>C73+C74</f>
        <v>0</v>
      </c>
      <c r="D75" s="7">
        <f t="shared" ref="D75:Q75" si="18">D73+D74</f>
        <v>0</v>
      </c>
      <c r="E75" s="7">
        <f t="shared" si="18"/>
        <v>75</v>
      </c>
      <c r="F75" s="7">
        <f t="shared" si="18"/>
        <v>75</v>
      </c>
      <c r="G75" s="7">
        <f t="shared" si="18"/>
        <v>75.000000000000028</v>
      </c>
      <c r="H75" s="7">
        <f t="shared" si="18"/>
        <v>74.999999999999972</v>
      </c>
      <c r="I75" s="7">
        <f t="shared" si="18"/>
        <v>0</v>
      </c>
      <c r="J75" s="7">
        <f t="shared" si="18"/>
        <v>0</v>
      </c>
      <c r="K75" s="7">
        <f t="shared" si="18"/>
        <v>0</v>
      </c>
      <c r="L75" s="7">
        <f t="shared" si="18"/>
        <v>0</v>
      </c>
      <c r="M75" s="7">
        <f t="shared" si="18"/>
        <v>0</v>
      </c>
      <c r="N75" s="7">
        <f t="shared" si="18"/>
        <v>0</v>
      </c>
      <c r="O75" s="7">
        <f t="shared" si="18"/>
        <v>0</v>
      </c>
      <c r="P75" s="7">
        <f t="shared" si="18"/>
        <v>0</v>
      </c>
      <c r="Q75" s="7">
        <f t="shared" si="18"/>
        <v>0</v>
      </c>
    </row>
    <row r="77" spans="1:17">
      <c r="A77" s="1" t="s">
        <v>5</v>
      </c>
    </row>
    <row r="78" spans="1:17">
      <c r="B78" t="s">
        <v>14</v>
      </c>
      <c r="C78">
        <f>C42+C43*C7</f>
        <v>25</v>
      </c>
    </row>
    <row r="79" spans="1:17">
      <c r="B79" t="s">
        <v>12</v>
      </c>
      <c r="C79">
        <f t="shared" ref="C79:Q79" si="19">IF(C47&lt;$C$15+$C$44,$C$78/$C$44,0)</f>
        <v>2.5</v>
      </c>
      <c r="D79">
        <f t="shared" si="19"/>
        <v>2.5</v>
      </c>
      <c r="E79">
        <f t="shared" si="19"/>
        <v>2.5</v>
      </c>
      <c r="F79">
        <f t="shared" si="19"/>
        <v>2.5</v>
      </c>
      <c r="G79">
        <f t="shared" si="19"/>
        <v>2.5</v>
      </c>
      <c r="H79">
        <f t="shared" si="19"/>
        <v>2.5</v>
      </c>
      <c r="I79">
        <f t="shared" si="19"/>
        <v>2.5</v>
      </c>
      <c r="J79">
        <f t="shared" si="19"/>
        <v>2.5</v>
      </c>
      <c r="K79">
        <f t="shared" si="19"/>
        <v>2.5</v>
      </c>
      <c r="L79">
        <f t="shared" si="19"/>
        <v>2.5</v>
      </c>
      <c r="M79">
        <f t="shared" si="19"/>
        <v>0</v>
      </c>
      <c r="N79">
        <f t="shared" si="19"/>
        <v>0</v>
      </c>
      <c r="O79">
        <f t="shared" si="19"/>
        <v>0</v>
      </c>
      <c r="P79">
        <f t="shared" si="19"/>
        <v>0</v>
      </c>
      <c r="Q79">
        <f t="shared" si="19"/>
        <v>0</v>
      </c>
    </row>
    <row r="81" spans="1:17">
      <c r="A81" s="1" t="s">
        <v>6</v>
      </c>
    </row>
    <row r="82" spans="1:17">
      <c r="B82" t="s">
        <v>3</v>
      </c>
      <c r="C82" s="8">
        <f>C70</f>
        <v>0</v>
      </c>
      <c r="D82" s="8">
        <f t="shared" ref="D82:Q82" si="20">D70</f>
        <v>0</v>
      </c>
      <c r="E82" s="8">
        <f t="shared" si="20"/>
        <v>165</v>
      </c>
      <c r="F82" s="8">
        <f t="shared" si="20"/>
        <v>180</v>
      </c>
      <c r="G82" s="8">
        <f t="shared" si="20"/>
        <v>195.00000000000006</v>
      </c>
      <c r="H82" s="8">
        <f t="shared" si="20"/>
        <v>209.99999999999994</v>
      </c>
      <c r="I82" s="8">
        <f t="shared" si="20"/>
        <v>18.000000000000004</v>
      </c>
      <c r="J82" s="8">
        <f t="shared" si="20"/>
        <v>18.000000000000004</v>
      </c>
      <c r="K82" s="8">
        <f t="shared" si="20"/>
        <v>18.000000000000004</v>
      </c>
      <c r="L82" s="8">
        <f t="shared" si="20"/>
        <v>18.000000000000004</v>
      </c>
      <c r="M82" s="8">
        <f t="shared" si="20"/>
        <v>0</v>
      </c>
      <c r="N82" s="8">
        <f t="shared" si="20"/>
        <v>0</v>
      </c>
      <c r="O82" s="8">
        <f t="shared" si="20"/>
        <v>0</v>
      </c>
      <c r="P82" s="8">
        <f t="shared" si="20"/>
        <v>0</v>
      </c>
      <c r="Q82" s="8">
        <f t="shared" si="20"/>
        <v>0</v>
      </c>
    </row>
    <row r="83" spans="1:17">
      <c r="B83" t="s">
        <v>8</v>
      </c>
      <c r="C83" s="8">
        <f>C75</f>
        <v>0</v>
      </c>
      <c r="D83" s="8">
        <f t="shared" ref="D83:Q83" si="21">D75</f>
        <v>0</v>
      </c>
      <c r="E83" s="8">
        <f t="shared" si="21"/>
        <v>75</v>
      </c>
      <c r="F83" s="8">
        <f t="shared" si="21"/>
        <v>75</v>
      </c>
      <c r="G83" s="8">
        <f t="shared" si="21"/>
        <v>75.000000000000028</v>
      </c>
      <c r="H83" s="8">
        <f t="shared" si="21"/>
        <v>74.999999999999972</v>
      </c>
      <c r="I83" s="8">
        <f t="shared" si="21"/>
        <v>0</v>
      </c>
      <c r="J83" s="8">
        <f t="shared" si="21"/>
        <v>0</v>
      </c>
      <c r="K83" s="8">
        <f t="shared" si="21"/>
        <v>0</v>
      </c>
      <c r="L83" s="8">
        <f t="shared" si="21"/>
        <v>0</v>
      </c>
      <c r="M83" s="8">
        <f t="shared" si="21"/>
        <v>0</v>
      </c>
      <c r="N83" s="8">
        <f t="shared" si="21"/>
        <v>0</v>
      </c>
      <c r="O83" s="8">
        <f t="shared" si="21"/>
        <v>0</v>
      </c>
      <c r="P83" s="8">
        <f t="shared" si="21"/>
        <v>0</v>
      </c>
      <c r="Q83" s="8">
        <f t="shared" si="21"/>
        <v>0</v>
      </c>
    </row>
    <row r="84" spans="1:17">
      <c r="B84" t="s">
        <v>9</v>
      </c>
      <c r="C84" s="8">
        <f>C82-C83</f>
        <v>0</v>
      </c>
      <c r="D84" s="8">
        <f t="shared" ref="D84:Q84" si="22">D82-D83</f>
        <v>0</v>
      </c>
      <c r="E84" s="8">
        <f t="shared" si="22"/>
        <v>90</v>
      </c>
      <c r="F84" s="8">
        <f t="shared" si="22"/>
        <v>105</v>
      </c>
      <c r="G84" s="8">
        <f t="shared" si="22"/>
        <v>120.00000000000003</v>
      </c>
      <c r="H84" s="8">
        <f t="shared" si="22"/>
        <v>134.99999999999997</v>
      </c>
      <c r="I84" s="8">
        <f t="shared" si="22"/>
        <v>18.000000000000004</v>
      </c>
      <c r="J84" s="8">
        <f t="shared" si="22"/>
        <v>18.000000000000004</v>
      </c>
      <c r="K84" s="8">
        <f t="shared" si="22"/>
        <v>18.000000000000004</v>
      </c>
      <c r="L84" s="8">
        <f t="shared" si="22"/>
        <v>18.000000000000004</v>
      </c>
      <c r="M84" s="8">
        <f t="shared" si="22"/>
        <v>0</v>
      </c>
      <c r="N84" s="8">
        <f t="shared" si="22"/>
        <v>0</v>
      </c>
      <c r="O84" s="8">
        <f t="shared" si="22"/>
        <v>0</v>
      </c>
      <c r="P84" s="8">
        <f t="shared" si="22"/>
        <v>0</v>
      </c>
      <c r="Q84" s="8">
        <f t="shared" si="22"/>
        <v>0</v>
      </c>
    </row>
    <row r="85" spans="1:17">
      <c r="B85" t="s">
        <v>12</v>
      </c>
      <c r="C85" s="8">
        <f>C79</f>
        <v>2.5</v>
      </c>
      <c r="D85" s="8">
        <f t="shared" ref="D85:Q85" si="23">D79</f>
        <v>2.5</v>
      </c>
      <c r="E85" s="8">
        <f t="shared" si="23"/>
        <v>2.5</v>
      </c>
      <c r="F85" s="8">
        <f t="shared" si="23"/>
        <v>2.5</v>
      </c>
      <c r="G85" s="8">
        <f t="shared" si="23"/>
        <v>2.5</v>
      </c>
      <c r="H85" s="8">
        <f t="shared" si="23"/>
        <v>2.5</v>
      </c>
      <c r="I85" s="8">
        <f t="shared" si="23"/>
        <v>2.5</v>
      </c>
      <c r="J85" s="8">
        <f t="shared" si="23"/>
        <v>2.5</v>
      </c>
      <c r="K85" s="8">
        <f t="shared" si="23"/>
        <v>2.5</v>
      </c>
      <c r="L85" s="8">
        <f t="shared" si="23"/>
        <v>2.5</v>
      </c>
      <c r="M85" s="8">
        <f t="shared" si="23"/>
        <v>0</v>
      </c>
      <c r="N85" s="8">
        <f t="shared" si="23"/>
        <v>0</v>
      </c>
      <c r="O85" s="8">
        <f t="shared" si="23"/>
        <v>0</v>
      </c>
      <c r="P85" s="8">
        <f t="shared" si="23"/>
        <v>0</v>
      </c>
      <c r="Q85" s="8">
        <f t="shared" si="23"/>
        <v>0</v>
      </c>
    </row>
    <row r="86" spans="1:17">
      <c r="B86" t="s">
        <v>10</v>
      </c>
      <c r="C86" s="8">
        <f>(C84-C85)*$C$16</f>
        <v>-1</v>
      </c>
      <c r="D86" s="8">
        <f t="shared" ref="D86:Q86" si="24">(D84-D85)*$C$16</f>
        <v>-1</v>
      </c>
      <c r="E86" s="8">
        <f t="shared" si="24"/>
        <v>35</v>
      </c>
      <c r="F86" s="8">
        <f t="shared" si="24"/>
        <v>41</v>
      </c>
      <c r="G86" s="8">
        <f t="shared" si="24"/>
        <v>47.000000000000014</v>
      </c>
      <c r="H86" s="8">
        <f t="shared" si="24"/>
        <v>52.999999999999993</v>
      </c>
      <c r="I86" s="8">
        <f t="shared" si="24"/>
        <v>6.200000000000002</v>
      </c>
      <c r="J86" s="8">
        <f t="shared" si="24"/>
        <v>6.200000000000002</v>
      </c>
      <c r="K86" s="8">
        <f t="shared" si="24"/>
        <v>6.200000000000002</v>
      </c>
      <c r="L86" s="8">
        <f t="shared" si="24"/>
        <v>6.200000000000002</v>
      </c>
      <c r="M86" s="8">
        <f t="shared" si="24"/>
        <v>0</v>
      </c>
      <c r="N86" s="8">
        <f t="shared" si="24"/>
        <v>0</v>
      </c>
      <c r="O86" s="8">
        <f t="shared" si="24"/>
        <v>0</v>
      </c>
      <c r="P86" s="8">
        <f t="shared" si="24"/>
        <v>0</v>
      </c>
      <c r="Q86" s="8">
        <f t="shared" si="24"/>
        <v>0</v>
      </c>
    </row>
    <row r="87" spans="1:17">
      <c r="B87" t="s">
        <v>11</v>
      </c>
      <c r="C87" s="8">
        <f>C84-C85-C86</f>
        <v>-1.5</v>
      </c>
      <c r="D87" s="8">
        <f t="shared" ref="D87:Q87" si="25">D84-D85-D86</f>
        <v>-1.5</v>
      </c>
      <c r="E87" s="8">
        <f t="shared" si="25"/>
        <v>52.5</v>
      </c>
      <c r="F87" s="8">
        <f t="shared" si="25"/>
        <v>61.5</v>
      </c>
      <c r="G87" s="8">
        <f t="shared" si="25"/>
        <v>70.500000000000014</v>
      </c>
      <c r="H87" s="8">
        <f t="shared" si="25"/>
        <v>79.499999999999972</v>
      </c>
      <c r="I87" s="8">
        <f t="shared" si="25"/>
        <v>9.3000000000000007</v>
      </c>
      <c r="J87" s="8">
        <f t="shared" si="25"/>
        <v>9.3000000000000007</v>
      </c>
      <c r="K87" s="8">
        <f t="shared" si="25"/>
        <v>9.3000000000000007</v>
      </c>
      <c r="L87" s="8">
        <f t="shared" si="25"/>
        <v>9.3000000000000007</v>
      </c>
      <c r="M87" s="8">
        <f t="shared" si="25"/>
        <v>0</v>
      </c>
      <c r="N87" s="8">
        <f t="shared" si="25"/>
        <v>0</v>
      </c>
      <c r="O87" s="8">
        <f t="shared" si="25"/>
        <v>0</v>
      </c>
      <c r="P87" s="8">
        <f t="shared" si="25"/>
        <v>0</v>
      </c>
      <c r="Q87" s="8">
        <f t="shared" si="25"/>
        <v>0</v>
      </c>
    </row>
    <row r="88" spans="1:17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>
      <c r="A89" s="1" t="s">
        <v>7</v>
      </c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>
      <c r="B90" t="s">
        <v>11</v>
      </c>
      <c r="C90" s="8">
        <f>C87</f>
        <v>-1.5</v>
      </c>
      <c r="D90" s="8">
        <f t="shared" ref="D90:Q90" si="26">D87</f>
        <v>-1.5</v>
      </c>
      <c r="E90" s="8">
        <f t="shared" si="26"/>
        <v>52.5</v>
      </c>
      <c r="F90" s="8">
        <f t="shared" si="26"/>
        <v>61.5</v>
      </c>
      <c r="G90" s="8">
        <f t="shared" si="26"/>
        <v>70.500000000000014</v>
      </c>
      <c r="H90" s="8">
        <f t="shared" si="26"/>
        <v>79.499999999999972</v>
      </c>
      <c r="I90" s="8">
        <f t="shared" si="26"/>
        <v>9.3000000000000007</v>
      </c>
      <c r="J90" s="8">
        <f t="shared" si="26"/>
        <v>9.3000000000000007</v>
      </c>
      <c r="K90" s="8">
        <f t="shared" si="26"/>
        <v>9.3000000000000007</v>
      </c>
      <c r="L90" s="8">
        <f t="shared" si="26"/>
        <v>9.3000000000000007</v>
      </c>
      <c r="M90" s="8">
        <f t="shared" si="26"/>
        <v>0</v>
      </c>
      <c r="N90" s="8">
        <f t="shared" si="26"/>
        <v>0</v>
      </c>
      <c r="O90" s="8">
        <f t="shared" si="26"/>
        <v>0</v>
      </c>
      <c r="P90" s="8">
        <f t="shared" si="26"/>
        <v>0</v>
      </c>
      <c r="Q90" s="8">
        <f t="shared" si="26"/>
        <v>0</v>
      </c>
    </row>
    <row r="91" spans="1:17">
      <c r="B91" t="s">
        <v>12</v>
      </c>
      <c r="C91" s="8">
        <f>C79</f>
        <v>2.5</v>
      </c>
      <c r="D91" s="8">
        <f t="shared" ref="D91:Q91" si="27">D79</f>
        <v>2.5</v>
      </c>
      <c r="E91" s="8">
        <f t="shared" si="27"/>
        <v>2.5</v>
      </c>
      <c r="F91" s="8">
        <f t="shared" si="27"/>
        <v>2.5</v>
      </c>
      <c r="G91" s="8">
        <f t="shared" si="27"/>
        <v>2.5</v>
      </c>
      <c r="H91" s="8">
        <f t="shared" si="27"/>
        <v>2.5</v>
      </c>
      <c r="I91" s="8">
        <f t="shared" si="27"/>
        <v>2.5</v>
      </c>
      <c r="J91" s="8">
        <f t="shared" si="27"/>
        <v>2.5</v>
      </c>
      <c r="K91" s="8">
        <f t="shared" si="27"/>
        <v>2.5</v>
      </c>
      <c r="L91" s="8">
        <f t="shared" si="27"/>
        <v>2.5</v>
      </c>
      <c r="M91" s="8">
        <f t="shared" si="27"/>
        <v>0</v>
      </c>
      <c r="N91" s="8">
        <f t="shared" si="27"/>
        <v>0</v>
      </c>
      <c r="O91" s="8">
        <f t="shared" si="27"/>
        <v>0</v>
      </c>
      <c r="P91" s="8">
        <f t="shared" si="27"/>
        <v>0</v>
      </c>
      <c r="Q91" s="8">
        <f t="shared" si="27"/>
        <v>0</v>
      </c>
    </row>
    <row r="92" spans="1:17">
      <c r="B92" t="s">
        <v>13</v>
      </c>
      <c r="C92" s="8">
        <f>C78</f>
        <v>25</v>
      </c>
      <c r="D92" s="8">
        <f t="shared" ref="D92:Q92" si="28">D78</f>
        <v>0</v>
      </c>
      <c r="E92" s="8">
        <f t="shared" si="28"/>
        <v>0</v>
      </c>
      <c r="F92" s="8">
        <f t="shared" si="28"/>
        <v>0</v>
      </c>
      <c r="G92" s="8">
        <f t="shared" si="28"/>
        <v>0</v>
      </c>
      <c r="H92" s="8">
        <f t="shared" si="28"/>
        <v>0</v>
      </c>
      <c r="I92" s="8">
        <f t="shared" si="28"/>
        <v>0</v>
      </c>
      <c r="J92" s="8">
        <f t="shared" si="28"/>
        <v>0</v>
      </c>
      <c r="K92" s="8">
        <f t="shared" si="28"/>
        <v>0</v>
      </c>
      <c r="L92" s="8">
        <f t="shared" si="28"/>
        <v>0</v>
      </c>
      <c r="M92" s="8">
        <f t="shared" si="28"/>
        <v>0</v>
      </c>
      <c r="N92" s="8">
        <f t="shared" si="28"/>
        <v>0</v>
      </c>
      <c r="O92" s="8">
        <f t="shared" si="28"/>
        <v>0</v>
      </c>
      <c r="P92" s="8">
        <f t="shared" si="28"/>
        <v>0</v>
      </c>
      <c r="Q92" s="8">
        <f t="shared" si="28"/>
        <v>0</v>
      </c>
    </row>
    <row r="93" spans="1:17">
      <c r="B93" t="s">
        <v>18</v>
      </c>
      <c r="C93" s="8">
        <f>C90+C91-C92</f>
        <v>-24</v>
      </c>
      <c r="D93" s="8">
        <f t="shared" ref="D93:Q93" si="29">D90+D91-D92</f>
        <v>1</v>
      </c>
      <c r="E93" s="8">
        <f t="shared" si="29"/>
        <v>55</v>
      </c>
      <c r="F93" s="8">
        <f t="shared" si="29"/>
        <v>64</v>
      </c>
      <c r="G93" s="8">
        <f t="shared" si="29"/>
        <v>73.000000000000014</v>
      </c>
      <c r="H93" s="8">
        <f t="shared" si="29"/>
        <v>81.999999999999972</v>
      </c>
      <c r="I93" s="8">
        <f t="shared" si="29"/>
        <v>11.8</v>
      </c>
      <c r="J93" s="8">
        <f t="shared" si="29"/>
        <v>11.8</v>
      </c>
      <c r="K93" s="8">
        <f t="shared" si="29"/>
        <v>11.8</v>
      </c>
      <c r="L93" s="8">
        <f t="shared" si="29"/>
        <v>11.8</v>
      </c>
      <c r="M93" s="8">
        <f t="shared" si="29"/>
        <v>0</v>
      </c>
      <c r="N93" s="8">
        <f t="shared" si="29"/>
        <v>0</v>
      </c>
      <c r="O93" s="8">
        <f t="shared" si="29"/>
        <v>0</v>
      </c>
      <c r="P93" s="8">
        <f t="shared" si="29"/>
        <v>0</v>
      </c>
      <c r="Q93" s="8">
        <f t="shared" si="29"/>
        <v>0</v>
      </c>
    </row>
    <row r="95" spans="1:17">
      <c r="A95" s="1" t="s">
        <v>44</v>
      </c>
      <c r="B95" s="9">
        <f>C93+NPV(C17,D93:Q93)</f>
        <v>194.44851150686523</v>
      </c>
    </row>
  </sheetData>
  <printOptions headings="1"/>
  <pageMargins left="0.75" right="0.31" top="0.59" bottom="0.61" header="0.5" footer="0.5"/>
  <pageSetup scale="46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4"/>
  <sheetViews>
    <sheetView workbookViewId="0">
      <selection activeCell="D26" sqref="D26"/>
    </sheetView>
  </sheetViews>
  <sheetFormatPr defaultRowHeight="15.75"/>
  <cols>
    <col min="1" max="1" width="10.875" customWidth="1"/>
    <col min="2" max="2" width="14.75" customWidth="1"/>
  </cols>
  <sheetData>
    <row r="1" spans="1:3">
      <c r="A1" s="18" t="s">
        <v>77</v>
      </c>
      <c r="B1" s="3" t="s">
        <v>61</v>
      </c>
      <c r="C1" s="3" t="s">
        <v>62</v>
      </c>
    </row>
    <row r="2" spans="1:3">
      <c r="A2" s="4">
        <v>0.05</v>
      </c>
      <c r="B2" s="7">
        <v>75.136136290141266</v>
      </c>
      <c r="C2" s="7">
        <v>89.415753229616413</v>
      </c>
    </row>
    <row r="3" spans="1:3">
      <c r="A3" s="4">
        <v>0.06</v>
      </c>
      <c r="B3" s="7">
        <v>98.998611333486039</v>
      </c>
      <c r="C3" s="7">
        <v>113.86565530168066</v>
      </c>
    </row>
    <row r="4" spans="1:3">
      <c r="A4" s="4">
        <v>7.0000000000000007E-2</v>
      </c>
      <c r="B4" s="7">
        <v>122.86108637683088</v>
      </c>
      <c r="C4" s="7">
        <v>138.31555737374492</v>
      </c>
    </row>
    <row r="5" spans="1:3">
      <c r="A5" s="4">
        <v>0.08</v>
      </c>
      <c r="B5" s="7">
        <v>146.72356142017566</v>
      </c>
      <c r="C5" s="7">
        <v>162.76545944580914</v>
      </c>
    </row>
    <row r="6" spans="1:3">
      <c r="A6" s="4">
        <v>0.09</v>
      </c>
      <c r="B6" s="7">
        <v>170.58603646352046</v>
      </c>
      <c r="C6" s="7">
        <v>187.21536151787336</v>
      </c>
    </row>
    <row r="7" spans="1:3">
      <c r="A7" s="4">
        <v>0.1</v>
      </c>
      <c r="B7" s="7">
        <v>194.44851150686517</v>
      </c>
      <c r="C7" s="7">
        <v>211.66526358993758</v>
      </c>
    </row>
    <row r="8" spans="1:3">
      <c r="A8" s="4">
        <v>0.11</v>
      </c>
      <c r="B8" s="7">
        <v>218.31098655020998</v>
      </c>
      <c r="C8" s="7">
        <v>236.1151656620018</v>
      </c>
    </row>
    <row r="9" spans="1:3">
      <c r="A9" s="4">
        <v>0.12</v>
      </c>
      <c r="B9" s="7">
        <v>242.1734615935548</v>
      </c>
      <c r="C9" s="7">
        <v>260.56506773406596</v>
      </c>
    </row>
    <row r="10" spans="1:3">
      <c r="A10" s="4">
        <v>0.13</v>
      </c>
      <c r="B10" s="7">
        <v>266.03593663689969</v>
      </c>
      <c r="C10" s="7">
        <v>285.01496980613024</v>
      </c>
    </row>
    <row r="11" spans="1:3">
      <c r="A11" s="4">
        <v>0.14000000000000001</v>
      </c>
      <c r="B11" s="7">
        <v>289.89841168024446</v>
      </c>
      <c r="C11" s="7">
        <v>309.46487187819451</v>
      </c>
    </row>
    <row r="12" spans="1:3">
      <c r="A12" s="4">
        <v>0.15</v>
      </c>
      <c r="B12" s="7">
        <v>313.76088672358924</v>
      </c>
      <c r="C12" s="7">
        <v>333.91477395025885</v>
      </c>
    </row>
    <row r="13" spans="1:3">
      <c r="A13" s="4">
        <v>0.16</v>
      </c>
      <c r="B13" s="7">
        <v>337.62336176693401</v>
      </c>
      <c r="C13" s="7">
        <v>358.36467602232312</v>
      </c>
    </row>
    <row r="14" spans="1:3">
      <c r="A14" s="4">
        <v>0.17</v>
      </c>
      <c r="B14" s="7">
        <v>361.48583681027884</v>
      </c>
      <c r="C14" s="7">
        <v>382.81457809438717</v>
      </c>
    </row>
    <row r="15" spans="1:3">
      <c r="A15" s="4">
        <v>0.18</v>
      </c>
      <c r="B15" s="7">
        <v>385.34831185362373</v>
      </c>
      <c r="C15" s="7">
        <v>407.26448016645151</v>
      </c>
    </row>
    <row r="16" spans="1:3">
      <c r="A16" s="4">
        <v>0.19</v>
      </c>
      <c r="B16" s="7">
        <v>409.21078689696844</v>
      </c>
      <c r="C16" s="7">
        <v>431.71438223851578</v>
      </c>
    </row>
    <row r="17" spans="1:4">
      <c r="A17" s="4">
        <v>0.2</v>
      </c>
      <c r="B17" s="7">
        <v>433.07326194031322</v>
      </c>
      <c r="C17" s="7">
        <v>456.16428431057994</v>
      </c>
    </row>
    <row r="24" spans="1:4">
      <c r="C24" s="19"/>
      <c r="D24" s="19"/>
    </row>
    <row r="25" spans="1:4">
      <c r="B25" s="4"/>
      <c r="C25" s="8"/>
      <c r="D25" s="8"/>
    </row>
    <row r="26" spans="1:4">
      <c r="B26" s="4"/>
      <c r="C26" s="8"/>
      <c r="D26" s="8"/>
    </row>
    <row r="27" spans="1:4">
      <c r="B27" s="4"/>
      <c r="C27" s="8"/>
      <c r="D27" s="8"/>
    </row>
    <row r="28" spans="1:4">
      <c r="B28" s="4"/>
      <c r="C28" s="8"/>
      <c r="D28" s="8"/>
    </row>
    <row r="29" spans="1:4">
      <c r="B29" s="4"/>
      <c r="C29" s="8"/>
      <c r="D29" s="8"/>
    </row>
    <row r="30" spans="1:4">
      <c r="B30" s="4"/>
      <c r="C30" s="8"/>
      <c r="D30" s="8"/>
    </row>
    <row r="31" spans="1:4">
      <c r="B31" s="4"/>
      <c r="C31" s="8"/>
      <c r="D31" s="8"/>
    </row>
    <row r="32" spans="1:4">
      <c r="B32" s="4"/>
      <c r="C32" s="8"/>
      <c r="D32" s="8"/>
    </row>
    <row r="33" spans="2:4">
      <c r="B33" s="4"/>
      <c r="C33" s="8"/>
      <c r="D33" s="8"/>
    </row>
    <row r="34" spans="2:4">
      <c r="B34" s="4"/>
      <c r="C34" s="8"/>
      <c r="D34" s="8"/>
    </row>
    <row r="35" spans="2:4">
      <c r="B35" s="4"/>
      <c r="C35" s="8"/>
      <c r="D35" s="8"/>
    </row>
    <row r="36" spans="2:4">
      <c r="B36" s="4"/>
      <c r="C36" s="8"/>
      <c r="D36" s="8"/>
    </row>
    <row r="37" spans="2:4">
      <c r="B37" s="4"/>
      <c r="C37" s="8"/>
      <c r="D37" s="8"/>
    </row>
    <row r="38" spans="2:4">
      <c r="B38" s="4"/>
      <c r="C38" s="8"/>
      <c r="D38" s="8"/>
    </row>
    <row r="39" spans="2:4">
      <c r="B39" s="4"/>
      <c r="C39" s="8"/>
      <c r="D39" s="8"/>
    </row>
    <row r="40" spans="2:4">
      <c r="B40" s="4"/>
      <c r="C40" s="8"/>
      <c r="D40" s="8"/>
    </row>
    <row r="41" spans="2:4">
      <c r="B41" s="4"/>
      <c r="C41" s="8"/>
      <c r="D41" s="8"/>
    </row>
    <row r="42" spans="2:4">
      <c r="B42" s="4"/>
      <c r="C42" s="8"/>
      <c r="D42" s="8"/>
    </row>
    <row r="43" spans="2:4">
      <c r="B43" s="4"/>
      <c r="C43" s="8"/>
      <c r="D43" s="8"/>
    </row>
    <row r="44" spans="2:4">
      <c r="B44" s="4"/>
      <c r="C44" s="8"/>
      <c r="D44" s="8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activeCell="F16" sqref="F16"/>
    </sheetView>
  </sheetViews>
  <sheetFormatPr defaultRowHeight="15.75"/>
  <cols>
    <col min="1" max="1" width="14.25" bestFit="1" customWidth="1"/>
    <col min="2" max="2" width="14.25" customWidth="1"/>
    <col min="3" max="3" width="5.375" bestFit="1" customWidth="1"/>
  </cols>
  <sheetData>
    <row r="1" spans="1:4">
      <c r="A1" s="18" t="s">
        <v>98</v>
      </c>
      <c r="B1" s="18" t="s">
        <v>96</v>
      </c>
      <c r="C1" s="18" t="s">
        <v>97</v>
      </c>
    </row>
    <row r="2" spans="1:4">
      <c r="A2" s="6">
        <v>0</v>
      </c>
      <c r="B2" s="6">
        <v>194</v>
      </c>
      <c r="C2" s="7">
        <v>183.24730902896005</v>
      </c>
      <c r="D2" s="20"/>
    </row>
    <row r="3" spans="1:4">
      <c r="A3" s="6">
        <v>1</v>
      </c>
      <c r="B3" s="6">
        <v>194</v>
      </c>
      <c r="C3" s="7">
        <v>211.66526358993758</v>
      </c>
      <c r="D3" s="20"/>
    </row>
    <row r="4" spans="1:4">
      <c r="A4" s="6">
        <v>2</v>
      </c>
      <c r="B4" s="6">
        <v>194</v>
      </c>
      <c r="C4" s="7">
        <v>241.90090323203856</v>
      </c>
      <c r="D4" s="20"/>
    </row>
    <row r="5" spans="1:4">
      <c r="A5" s="6">
        <v>3</v>
      </c>
      <c r="B5" s="6">
        <v>194</v>
      </c>
      <c r="C5" s="7">
        <v>274.08722930266214</v>
      </c>
      <c r="D5" s="20"/>
    </row>
    <row r="6" spans="1:4">
      <c r="A6" s="6">
        <v>4</v>
      </c>
      <c r="B6" s="6">
        <v>194</v>
      </c>
      <c r="C6" s="7">
        <v>344.89714665803405</v>
      </c>
      <c r="D6" s="20"/>
    </row>
    <row r="7" spans="1:4">
      <c r="A7" s="6">
        <v>5</v>
      </c>
      <c r="B7" s="6">
        <v>194</v>
      </c>
      <c r="C7" s="7">
        <v>344.89714665803405</v>
      </c>
      <c r="D7" s="20"/>
    </row>
  </sheetData>
  <phoneticPr fontId="2" type="noConversion"/>
  <pageMargins left="0.75" right="0.75" top="1" bottom="1" header="0.5" footer="0.5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N1:V20"/>
  <sheetViews>
    <sheetView topLeftCell="B1" zoomScale="80" zoomScaleNormal="80" workbookViewId="0">
      <selection activeCell="O3" sqref="O3:Q19"/>
    </sheetView>
  </sheetViews>
  <sheetFormatPr defaultRowHeight="15.75"/>
  <cols>
    <col min="14" max="14" width="32.5" bestFit="1" customWidth="1"/>
    <col min="15" max="15" width="6.125" bestFit="1" customWidth="1"/>
    <col min="16" max="16" width="6.625" bestFit="1" customWidth="1"/>
    <col min="17" max="17" width="5.5" bestFit="1" customWidth="1"/>
    <col min="18" max="18" width="14.125" bestFit="1" customWidth="1"/>
    <col min="19" max="19" width="15.375" bestFit="1" customWidth="1"/>
    <col min="20" max="20" width="10.25" bestFit="1" customWidth="1"/>
    <col min="21" max="22" width="5.75" bestFit="1" customWidth="1"/>
  </cols>
  <sheetData>
    <row r="1" spans="14:22">
      <c r="N1" s="13" t="s">
        <v>64</v>
      </c>
      <c r="O1" s="13"/>
      <c r="P1" s="13"/>
      <c r="Q1" s="13"/>
      <c r="R1" s="13"/>
      <c r="S1" s="13" t="s">
        <v>70</v>
      </c>
      <c r="T1" s="13"/>
      <c r="U1" s="13"/>
      <c r="V1" s="13"/>
    </row>
    <row r="2" spans="14:22">
      <c r="N2" s="14" t="s">
        <v>65</v>
      </c>
      <c r="O2" s="14" t="s">
        <v>66</v>
      </c>
      <c r="P2" s="14" t="s">
        <v>67</v>
      </c>
      <c r="Q2" s="14" t="s">
        <v>68</v>
      </c>
      <c r="R2" s="14" t="s">
        <v>69</v>
      </c>
      <c r="S2" s="14" t="s">
        <v>71</v>
      </c>
      <c r="T2" s="14" t="s">
        <v>72</v>
      </c>
      <c r="U2" s="14" t="s">
        <v>73</v>
      </c>
      <c r="V2" s="14" t="s">
        <v>74</v>
      </c>
    </row>
    <row r="3" spans="14:22">
      <c r="N3" s="15" t="s">
        <v>79</v>
      </c>
      <c r="O3" s="21">
        <v>168.51324876400739</v>
      </c>
      <c r="P3" s="21">
        <v>220.38377424972305</v>
      </c>
      <c r="Q3" s="21">
        <v>51.87052548571566</v>
      </c>
      <c r="R3" s="21">
        <v>194.44851150686523</v>
      </c>
      <c r="S3" s="15">
        <v>10</v>
      </c>
      <c r="T3" s="15">
        <v>10</v>
      </c>
      <c r="U3" s="15">
        <v>9</v>
      </c>
      <c r="V3" s="15">
        <v>11</v>
      </c>
    </row>
    <row r="4" spans="14:22">
      <c r="N4" s="15" t="s">
        <v>80</v>
      </c>
      <c r="O4" s="21">
        <v>170.58603646352046</v>
      </c>
      <c r="P4" s="21">
        <v>218.31098655021003</v>
      </c>
      <c r="Q4" s="21">
        <v>47.724950086689574</v>
      </c>
      <c r="R4" s="21">
        <v>194.44851150686523</v>
      </c>
      <c r="S4" s="15">
        <v>600</v>
      </c>
      <c r="T4" s="15">
        <v>10</v>
      </c>
      <c r="U4" s="15">
        <v>540</v>
      </c>
      <c r="V4" s="15">
        <v>660</v>
      </c>
    </row>
    <row r="5" spans="14:22">
      <c r="N5" s="15" t="s">
        <v>93</v>
      </c>
      <c r="O5" s="21">
        <v>170.58603646352051</v>
      </c>
      <c r="P5" s="21">
        <v>218.31098655021003</v>
      </c>
      <c r="Q5" s="21">
        <v>47.724950086689518</v>
      </c>
      <c r="R5" s="21">
        <v>194.44851150686523</v>
      </c>
      <c r="S5" s="15">
        <v>0.1</v>
      </c>
      <c r="T5" s="15">
        <v>10</v>
      </c>
      <c r="U5" s="15">
        <v>9.0000000000000011E-2</v>
      </c>
      <c r="V5" s="15">
        <v>0.11</v>
      </c>
    </row>
    <row r="6" spans="14:22">
      <c r="N6" s="15" t="s">
        <v>81</v>
      </c>
      <c r="O6" s="21">
        <v>207.95190830461041</v>
      </c>
      <c r="P6" s="21">
        <v>180.94511470912008</v>
      </c>
      <c r="Q6" s="21">
        <v>27.006793595490336</v>
      </c>
      <c r="R6" s="21">
        <v>194.44851150686523</v>
      </c>
      <c r="S6" s="15">
        <v>0.4</v>
      </c>
      <c r="T6" s="15">
        <v>10</v>
      </c>
      <c r="U6" s="15">
        <v>0.36000000000000004</v>
      </c>
      <c r="V6" s="15">
        <v>0.44</v>
      </c>
    </row>
    <row r="7" spans="14:22">
      <c r="N7" s="15" t="s">
        <v>82</v>
      </c>
      <c r="O7" s="21">
        <v>204.82261660400837</v>
      </c>
      <c r="P7" s="21">
        <v>184.07440640972206</v>
      </c>
      <c r="Q7" s="21">
        <v>20.748210194286315</v>
      </c>
      <c r="R7" s="21">
        <v>194.44851150686523</v>
      </c>
      <c r="S7" s="15">
        <v>4</v>
      </c>
      <c r="T7" s="15">
        <v>10</v>
      </c>
      <c r="U7" s="15">
        <v>3.6</v>
      </c>
      <c r="V7" s="15">
        <v>4.4000000000000004</v>
      </c>
    </row>
    <row r="8" spans="14:22">
      <c r="N8" s="15" t="s">
        <v>83</v>
      </c>
      <c r="O8" s="21">
        <v>186.14719410923513</v>
      </c>
      <c r="P8" s="21">
        <v>202.74982890449536</v>
      </c>
      <c r="Q8" s="21">
        <v>16.602634795260229</v>
      </c>
      <c r="R8" s="21">
        <v>194.44851150686523</v>
      </c>
      <c r="S8" s="15">
        <v>1</v>
      </c>
      <c r="T8" s="15">
        <v>10</v>
      </c>
      <c r="U8" s="15">
        <v>0.9</v>
      </c>
      <c r="V8" s="15">
        <v>1.1000000000000001</v>
      </c>
    </row>
    <row r="9" spans="14:22">
      <c r="N9" s="15" t="s">
        <v>84</v>
      </c>
      <c r="O9" s="21">
        <v>202.48501607520998</v>
      </c>
      <c r="P9" s="21">
        <v>186.81232921963533</v>
      </c>
      <c r="Q9" s="21">
        <v>15.672686855574653</v>
      </c>
      <c r="R9" s="21">
        <v>194.44851150686523</v>
      </c>
      <c r="S9" s="15">
        <v>0.1</v>
      </c>
      <c r="T9" s="15">
        <v>10</v>
      </c>
      <c r="U9" s="15">
        <v>9.0000000000000011E-2</v>
      </c>
      <c r="V9" s="15">
        <v>0.11</v>
      </c>
    </row>
    <row r="10" spans="14:22">
      <c r="N10" s="15" t="s">
        <v>85</v>
      </c>
      <c r="O10" s="21">
        <v>200.23610061325579</v>
      </c>
      <c r="P10" s="21">
        <v>188.66092240047465</v>
      </c>
      <c r="Q10" s="21">
        <v>11.57517821278114</v>
      </c>
      <c r="R10" s="21">
        <v>194.44851150686523</v>
      </c>
      <c r="S10" s="15">
        <v>1</v>
      </c>
      <c r="T10" s="15">
        <v>10</v>
      </c>
      <c r="U10" s="15">
        <v>0.9</v>
      </c>
      <c r="V10" s="15">
        <v>1.1000000000000001</v>
      </c>
    </row>
    <row r="11" spans="14:22">
      <c r="N11" s="15" t="s">
        <v>86</v>
      </c>
      <c r="O11" s="21">
        <v>199.40846886496928</v>
      </c>
      <c r="P11" s="21">
        <v>189.48855414876112</v>
      </c>
      <c r="Q11" s="21">
        <v>9.9199147162081545</v>
      </c>
      <c r="R11" s="21">
        <v>194.44851150686523</v>
      </c>
      <c r="S11" s="15">
        <v>0.7</v>
      </c>
      <c r="T11" s="15">
        <v>10</v>
      </c>
      <c r="U11" s="15">
        <v>0.63</v>
      </c>
      <c r="V11" s="15">
        <v>0.76999999999999991</v>
      </c>
    </row>
    <row r="12" spans="14:22">
      <c r="N12" s="15" t="s">
        <v>87</v>
      </c>
      <c r="O12" s="21">
        <v>197.04203778115101</v>
      </c>
      <c r="P12" s="21">
        <v>191.85498523257942</v>
      </c>
      <c r="Q12" s="21">
        <v>5.1870525485715859</v>
      </c>
      <c r="R12" s="21">
        <v>194.44851150686523</v>
      </c>
      <c r="S12" s="15">
        <v>15</v>
      </c>
      <c r="T12" s="15">
        <v>10</v>
      </c>
      <c r="U12" s="15">
        <v>13.5</v>
      </c>
      <c r="V12" s="15">
        <v>16.5</v>
      </c>
    </row>
    <row r="13" spans="14:22">
      <c r="N13" s="15" t="s">
        <v>88</v>
      </c>
      <c r="O13" s="21">
        <v>196.27260912523772</v>
      </c>
      <c r="P13" s="21">
        <v>192.62441388849277</v>
      </c>
      <c r="Q13" s="21">
        <v>3.6481952367449537</v>
      </c>
      <c r="R13" s="21">
        <v>194.44851150686523</v>
      </c>
      <c r="S13" s="15">
        <v>25</v>
      </c>
      <c r="T13" s="15">
        <v>10</v>
      </c>
      <c r="U13" s="15">
        <v>22.5</v>
      </c>
      <c r="V13" s="15">
        <v>27.5</v>
      </c>
    </row>
    <row r="14" spans="14:22">
      <c r="N14" s="15" t="s">
        <v>89</v>
      </c>
      <c r="O14" s="21">
        <v>194.7282945771486</v>
      </c>
      <c r="P14" s="21">
        <v>194.18454869577619</v>
      </c>
      <c r="Q14" s="21">
        <v>0.54374588137241631</v>
      </c>
      <c r="R14" s="21">
        <v>194.44851150686523</v>
      </c>
      <c r="S14" s="15">
        <v>10</v>
      </c>
      <c r="T14" s="15">
        <v>10</v>
      </c>
      <c r="U14" s="15">
        <v>9</v>
      </c>
      <c r="V14" s="15">
        <v>11</v>
      </c>
    </row>
    <row r="15" spans="14:22">
      <c r="N15" s="15" t="s">
        <v>90</v>
      </c>
      <c r="O15" s="21">
        <v>194.44851150686523</v>
      </c>
      <c r="P15" s="21">
        <v>194.44851150686523</v>
      </c>
      <c r="Q15" s="21">
        <v>0</v>
      </c>
      <c r="R15" s="21">
        <v>194.44851150686523</v>
      </c>
      <c r="S15" s="15">
        <v>450</v>
      </c>
      <c r="T15" s="15">
        <v>10</v>
      </c>
      <c r="U15" s="15">
        <v>405</v>
      </c>
      <c r="V15" s="15">
        <v>495</v>
      </c>
    </row>
    <row r="16" spans="14:22">
      <c r="N16" s="15" t="s">
        <v>91</v>
      </c>
      <c r="O16" s="21">
        <v>194.44851150686523</v>
      </c>
      <c r="P16" s="21">
        <v>194.44851150686523</v>
      </c>
      <c r="Q16" s="21">
        <v>0</v>
      </c>
      <c r="R16" s="21">
        <v>194.44851150686523</v>
      </c>
      <c r="S16" s="15">
        <v>140</v>
      </c>
      <c r="T16" s="15">
        <v>10</v>
      </c>
      <c r="U16" s="15">
        <v>126</v>
      </c>
      <c r="V16" s="15">
        <v>154</v>
      </c>
    </row>
    <row r="17" spans="14:22">
      <c r="N17" s="15" t="s">
        <v>92</v>
      </c>
      <c r="O17" s="21">
        <v>194.44851150686523</v>
      </c>
      <c r="P17" s="21">
        <v>194.44851150686523</v>
      </c>
      <c r="Q17" s="21">
        <v>0</v>
      </c>
      <c r="R17" s="21">
        <v>194.44851150686523</v>
      </c>
      <c r="S17" s="15">
        <v>0</v>
      </c>
      <c r="T17" s="15">
        <v>10</v>
      </c>
      <c r="U17" s="15">
        <v>0</v>
      </c>
      <c r="V17" s="15">
        <v>0</v>
      </c>
    </row>
    <row r="18" spans="14:22">
      <c r="N18" s="15" t="s">
        <v>94</v>
      </c>
      <c r="O18" s="21">
        <v>194.44851150686523</v>
      </c>
      <c r="P18" s="21">
        <v>194.44851150686523</v>
      </c>
      <c r="Q18" s="21">
        <v>0</v>
      </c>
      <c r="R18" s="21">
        <v>194.44851150686523</v>
      </c>
      <c r="S18" s="15">
        <v>20</v>
      </c>
      <c r="T18" s="15">
        <v>10</v>
      </c>
      <c r="U18" s="15">
        <v>18</v>
      </c>
      <c r="V18" s="15">
        <v>22</v>
      </c>
    </row>
    <row r="19" spans="14:22">
      <c r="N19" s="15" t="s">
        <v>95</v>
      </c>
      <c r="O19" s="21">
        <v>194.44851150686523</v>
      </c>
      <c r="P19" s="21">
        <v>194.44851150686523</v>
      </c>
      <c r="Q19" s="21">
        <v>0</v>
      </c>
      <c r="R19" s="21">
        <v>194.44851150686523</v>
      </c>
      <c r="S19" s="15">
        <v>0.5</v>
      </c>
      <c r="T19" s="15">
        <v>10</v>
      </c>
      <c r="U19" s="15">
        <v>0.45</v>
      </c>
      <c r="V19" s="15">
        <v>0.55000000000000004</v>
      </c>
    </row>
    <row r="20" spans="14:22">
      <c r="N20" s="16"/>
      <c r="O20" s="16"/>
      <c r="P20" s="16"/>
      <c r="Q20" s="16"/>
      <c r="R20" s="16"/>
      <c r="S20" s="16"/>
      <c r="T20" s="16"/>
      <c r="U20" s="16"/>
      <c r="V20" s="16"/>
    </row>
  </sheetData>
  <sortState ref="N3:V19">
    <sortCondition descending="1" ref="Q3"/>
  </sortState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N1:V20"/>
  <sheetViews>
    <sheetView zoomScale="90" zoomScaleNormal="90" workbookViewId="0">
      <selection activeCell="O3" sqref="O3:Q19"/>
    </sheetView>
  </sheetViews>
  <sheetFormatPr defaultRowHeight="15.75"/>
  <cols>
    <col min="14" max="14" width="25.875" bestFit="1" customWidth="1"/>
    <col min="15" max="16" width="7.25" bestFit="1" customWidth="1"/>
    <col min="17" max="17" width="6.25" bestFit="1" customWidth="1"/>
    <col min="18" max="18" width="14.125" bestFit="1" customWidth="1"/>
    <col min="19" max="19" width="15.375" bestFit="1" customWidth="1"/>
    <col min="20" max="20" width="10.25" bestFit="1" customWidth="1"/>
    <col min="21" max="22" width="5.75" bestFit="1" customWidth="1"/>
  </cols>
  <sheetData>
    <row r="1" spans="14:22">
      <c r="N1" s="13" t="s">
        <v>64</v>
      </c>
      <c r="O1" s="13"/>
      <c r="P1" s="13"/>
      <c r="Q1" s="13"/>
      <c r="R1" s="13"/>
      <c r="S1" s="13" t="s">
        <v>70</v>
      </c>
      <c r="T1" s="13"/>
      <c r="U1" s="13"/>
      <c r="V1" s="13"/>
    </row>
    <row r="2" spans="14:22">
      <c r="N2" s="14" t="s">
        <v>65</v>
      </c>
      <c r="O2" s="14" t="s">
        <v>66</v>
      </c>
      <c r="P2" s="14" t="s">
        <v>67</v>
      </c>
      <c r="Q2" s="14" t="s">
        <v>68</v>
      </c>
      <c r="R2" s="14" t="s">
        <v>69</v>
      </c>
      <c r="S2" s="14" t="s">
        <v>71</v>
      </c>
      <c r="T2" s="14" t="s">
        <v>72</v>
      </c>
      <c r="U2" s="14" t="s">
        <v>73</v>
      </c>
      <c r="V2" s="14" t="s">
        <v>74</v>
      </c>
    </row>
    <row r="3" spans="14:22">
      <c r="N3" s="15" t="s">
        <v>79</v>
      </c>
      <c r="O3" s="21">
        <v>184.76204659656281</v>
      </c>
      <c r="P3" s="21">
        <v>238.56848058331241</v>
      </c>
      <c r="Q3" s="21">
        <v>53.806433986749596</v>
      </c>
      <c r="R3" s="15">
        <v>211.66526358993758</v>
      </c>
      <c r="S3" s="15">
        <v>10</v>
      </c>
      <c r="T3" s="15">
        <v>10</v>
      </c>
      <c r="U3" s="15">
        <v>9</v>
      </c>
      <c r="V3" s="15">
        <v>11</v>
      </c>
    </row>
    <row r="4" spans="14:22">
      <c r="N4" s="15" t="s">
        <v>95</v>
      </c>
      <c r="O4" s="21">
        <v>184.76204659656281</v>
      </c>
      <c r="P4" s="21">
        <v>238.56848058331241</v>
      </c>
      <c r="Q4" s="21">
        <v>53.806433986749596</v>
      </c>
      <c r="R4" s="15">
        <v>211.66526358993758</v>
      </c>
      <c r="S4" s="15">
        <v>0.5</v>
      </c>
      <c r="T4" s="15">
        <v>10</v>
      </c>
      <c r="U4" s="15">
        <v>0.45</v>
      </c>
      <c r="V4" s="15">
        <v>0.55000000000000004</v>
      </c>
    </row>
    <row r="5" spans="14:22">
      <c r="N5" s="15" t="s">
        <v>93</v>
      </c>
      <c r="O5" s="21">
        <v>187.21536151787336</v>
      </c>
      <c r="P5" s="21">
        <v>236.11516566200191</v>
      </c>
      <c r="Q5" s="21">
        <v>48.899804144128552</v>
      </c>
      <c r="R5" s="15">
        <v>211.66526358993758</v>
      </c>
      <c r="S5" s="15">
        <v>0.1</v>
      </c>
      <c r="T5" s="15">
        <v>10</v>
      </c>
      <c r="U5" s="15">
        <v>9.0000000000000011E-2</v>
      </c>
      <c r="V5" s="15">
        <v>0.11</v>
      </c>
    </row>
    <row r="6" spans="14:22">
      <c r="N6" s="15" t="s">
        <v>82</v>
      </c>
      <c r="O6" s="21">
        <v>233.18783718463743</v>
      </c>
      <c r="P6" s="21">
        <v>190.14268999523773</v>
      </c>
      <c r="Q6" s="21">
        <v>43.0451471893997</v>
      </c>
      <c r="R6" s="15">
        <v>211.66526358993758</v>
      </c>
      <c r="S6" s="15">
        <v>4</v>
      </c>
      <c r="T6" s="15">
        <v>10</v>
      </c>
      <c r="U6" s="15">
        <v>3.6</v>
      </c>
      <c r="V6" s="15">
        <v>4.4000000000000004</v>
      </c>
    </row>
    <row r="7" spans="14:22">
      <c r="N7" s="15" t="s">
        <v>83</v>
      </c>
      <c r="O7" s="21">
        <v>192.59600491654834</v>
      </c>
      <c r="P7" s="21">
        <v>230.73452226332694</v>
      </c>
      <c r="Q7" s="21">
        <v>38.138517346778599</v>
      </c>
      <c r="R7" s="15">
        <v>211.66526358993758</v>
      </c>
      <c r="S7" s="15">
        <v>1</v>
      </c>
      <c r="T7" s="15">
        <v>10</v>
      </c>
      <c r="U7" s="15">
        <v>0.9</v>
      </c>
      <c r="V7" s="15">
        <v>1.1000000000000001</v>
      </c>
    </row>
    <row r="8" spans="14:22">
      <c r="N8" s="15" t="s">
        <v>81</v>
      </c>
      <c r="O8" s="21">
        <v>226.74857401771749</v>
      </c>
      <c r="P8" s="21">
        <v>196.58195316215759</v>
      </c>
      <c r="Q8" s="21">
        <v>30.166620855559898</v>
      </c>
      <c r="R8" s="15">
        <v>211.66526358993758</v>
      </c>
      <c r="S8" s="15">
        <v>0.4</v>
      </c>
      <c r="T8" s="15">
        <v>10</v>
      </c>
      <c r="U8" s="15">
        <v>0.36000000000000004</v>
      </c>
      <c r="V8" s="15">
        <v>0.44</v>
      </c>
    </row>
    <row r="9" spans="14:22">
      <c r="N9" s="15" t="s">
        <v>80</v>
      </c>
      <c r="O9" s="21">
        <v>199.33758187293034</v>
      </c>
      <c r="P9" s="21">
        <v>223.99294530694476</v>
      </c>
      <c r="Q9" s="21">
        <v>24.655363434014419</v>
      </c>
      <c r="R9" s="15">
        <v>211.66526358993758</v>
      </c>
      <c r="S9" s="15">
        <v>600</v>
      </c>
      <c r="T9" s="15">
        <v>10</v>
      </c>
      <c r="U9" s="15">
        <v>540</v>
      </c>
      <c r="V9" s="15">
        <v>660</v>
      </c>
    </row>
    <row r="10" spans="14:22">
      <c r="N10" s="15" t="s">
        <v>85</v>
      </c>
      <c r="O10" s="21">
        <v>223.14398198427892</v>
      </c>
      <c r="P10" s="21">
        <v>200.18654519559624</v>
      </c>
      <c r="Q10" s="21">
        <v>22.957436788682685</v>
      </c>
      <c r="R10" s="15">
        <v>211.66526358993758</v>
      </c>
      <c r="S10" s="15">
        <v>1</v>
      </c>
      <c r="T10" s="15">
        <v>10</v>
      </c>
      <c r="U10" s="15">
        <v>0.9</v>
      </c>
      <c r="V10" s="15">
        <v>1.1000000000000001</v>
      </c>
    </row>
    <row r="11" spans="14:22">
      <c r="N11" s="15" t="s">
        <v>86</v>
      </c>
      <c r="O11" s="21">
        <v>221.50251235017743</v>
      </c>
      <c r="P11" s="21">
        <v>201.82801482969785</v>
      </c>
      <c r="Q11" s="21">
        <v>19.674497520479576</v>
      </c>
      <c r="R11" s="15">
        <v>211.66526358993758</v>
      </c>
      <c r="S11" s="15">
        <v>0.7</v>
      </c>
      <c r="T11" s="15">
        <v>10</v>
      </c>
      <c r="U11" s="15">
        <v>0.63</v>
      </c>
      <c r="V11" s="15">
        <v>0.76999999999999991</v>
      </c>
    </row>
    <row r="12" spans="14:22">
      <c r="N12" s="15" t="s">
        <v>84</v>
      </c>
      <c r="O12" s="21">
        <v>221.73835205475729</v>
      </c>
      <c r="P12" s="21">
        <v>202.12803559279405</v>
      </c>
      <c r="Q12" s="21">
        <v>19.610316461963237</v>
      </c>
      <c r="R12" s="15">
        <v>211.66526358993758</v>
      </c>
      <c r="S12" s="15">
        <v>0.1</v>
      </c>
      <c r="T12" s="15">
        <v>10</v>
      </c>
      <c r="U12" s="15">
        <v>9.0000000000000011E-2</v>
      </c>
      <c r="V12" s="15">
        <v>0.11</v>
      </c>
    </row>
    <row r="13" spans="14:22">
      <c r="N13" s="15" t="s">
        <v>90</v>
      </c>
      <c r="O13" s="21">
        <v>202.41950230218225</v>
      </c>
      <c r="P13" s="21">
        <v>220.91102487769302</v>
      </c>
      <c r="Q13" s="21">
        <v>18.491522575510771</v>
      </c>
      <c r="R13" s="15">
        <v>211.66526358993758</v>
      </c>
      <c r="S13" s="15">
        <v>450</v>
      </c>
      <c r="T13" s="15">
        <v>10</v>
      </c>
      <c r="U13" s="15">
        <v>405</v>
      </c>
      <c r="V13" s="15">
        <v>495</v>
      </c>
    </row>
    <row r="14" spans="14:22">
      <c r="N14" s="15" t="s">
        <v>91</v>
      </c>
      <c r="O14" s="21">
        <v>208.78880452263587</v>
      </c>
      <c r="P14" s="21">
        <v>214.54172265723923</v>
      </c>
      <c r="Q14" s="21">
        <v>5.7529181346033624</v>
      </c>
      <c r="R14" s="15">
        <v>211.66526358993758</v>
      </c>
      <c r="S14" s="15">
        <v>140</v>
      </c>
      <c r="T14" s="15">
        <v>10</v>
      </c>
      <c r="U14" s="15">
        <v>126</v>
      </c>
      <c r="V14" s="15">
        <v>154</v>
      </c>
    </row>
    <row r="15" spans="14:22">
      <c r="N15" s="15" t="s">
        <v>88</v>
      </c>
      <c r="O15" s="21">
        <v>213.48936120831007</v>
      </c>
      <c r="P15" s="21">
        <v>209.84116597156515</v>
      </c>
      <c r="Q15" s="21">
        <v>3.6481952367449253</v>
      </c>
      <c r="R15" s="15">
        <v>211.66526358993758</v>
      </c>
      <c r="S15" s="15">
        <v>25</v>
      </c>
      <c r="T15" s="15">
        <v>10</v>
      </c>
      <c r="U15" s="15">
        <v>22.5</v>
      </c>
      <c r="V15" s="15">
        <v>27.5</v>
      </c>
    </row>
    <row r="16" spans="14:22">
      <c r="N16" s="15" t="s">
        <v>94</v>
      </c>
      <c r="O16" s="21">
        <v>213.12454168463555</v>
      </c>
      <c r="P16" s="21">
        <v>210.20598549523964</v>
      </c>
      <c r="Q16" s="21">
        <v>2.9185561893959004</v>
      </c>
      <c r="R16" s="15">
        <v>211.66526358993758</v>
      </c>
      <c r="S16" s="15">
        <v>20</v>
      </c>
      <c r="T16" s="15">
        <v>10</v>
      </c>
      <c r="U16" s="15">
        <v>18</v>
      </c>
      <c r="V16" s="15">
        <v>22</v>
      </c>
    </row>
    <row r="17" spans="14:22">
      <c r="N17" s="15" t="s">
        <v>89</v>
      </c>
      <c r="O17" s="21">
        <v>212.16887311644763</v>
      </c>
      <c r="P17" s="21">
        <v>211.1901305299773</v>
      </c>
      <c r="Q17" s="21">
        <v>0.9787425864703323</v>
      </c>
      <c r="R17" s="15">
        <v>211.66526358993758</v>
      </c>
      <c r="S17" s="15">
        <v>10</v>
      </c>
      <c r="T17" s="15">
        <v>10</v>
      </c>
      <c r="U17" s="15">
        <v>9</v>
      </c>
      <c r="V17" s="15">
        <v>11</v>
      </c>
    </row>
    <row r="18" spans="14:22">
      <c r="N18" s="15" t="s">
        <v>92</v>
      </c>
      <c r="O18" s="21">
        <v>211.66526358993758</v>
      </c>
      <c r="P18" s="21">
        <v>211.66526358993758</v>
      </c>
      <c r="Q18" s="21">
        <v>0</v>
      </c>
      <c r="R18" s="15">
        <v>211.66526358993758</v>
      </c>
      <c r="S18" s="15">
        <v>0</v>
      </c>
      <c r="T18" s="15">
        <v>10</v>
      </c>
      <c r="U18" s="15">
        <v>0</v>
      </c>
      <c r="V18" s="15">
        <v>0</v>
      </c>
    </row>
    <row r="19" spans="14:22">
      <c r="N19" s="15" t="s">
        <v>87</v>
      </c>
      <c r="O19" s="21">
        <v>211.66526358993758</v>
      </c>
      <c r="P19" s="21">
        <v>211.66526358993758</v>
      </c>
      <c r="Q19" s="21">
        <v>0</v>
      </c>
      <c r="R19" s="15">
        <v>211.66526358993758</v>
      </c>
      <c r="S19" s="15">
        <v>15</v>
      </c>
      <c r="T19" s="15">
        <v>10</v>
      </c>
      <c r="U19" s="15">
        <v>13.5</v>
      </c>
      <c r="V19" s="15">
        <v>16.5</v>
      </c>
    </row>
    <row r="20" spans="14:22">
      <c r="N20" s="16"/>
      <c r="O20" s="16"/>
      <c r="P20" s="16"/>
      <c r="Q20" s="16"/>
      <c r="R20" s="16"/>
      <c r="S20" s="16"/>
      <c r="T20" s="16"/>
      <c r="U20" s="16"/>
      <c r="V20" s="16"/>
    </row>
  </sheetData>
  <sortState ref="N3:V19">
    <sortCondition descending="1" ref="Q3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Fig 7.3</vt:lpstr>
      <vt:lpstr>Fig 7.4 - M1</vt:lpstr>
      <vt:lpstr>Fig 7.5 - M1 </vt:lpstr>
      <vt:lpstr>Fig 7.6</vt:lpstr>
      <vt:lpstr>Fig 7.7 DataSens-licensing</vt:lpstr>
      <vt:lpstr>Fig 7.8-Tornado-Directsales</vt:lpstr>
      <vt:lpstr>Fig 7.9-Tornado-Licensing</vt:lpstr>
    </vt:vector>
  </TitlesOfParts>
  <Company>The Tuck School at Dartmouth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Steve.Powell</dc:creator>
  <cp:lastModifiedBy>Steve.Powell</cp:lastModifiedBy>
  <cp:lastPrinted>2008-01-16T19:19:25Z</cp:lastPrinted>
  <dcterms:created xsi:type="dcterms:W3CDTF">2006-08-29T18:16:40Z</dcterms:created>
  <dcterms:modified xsi:type="dcterms:W3CDTF">2008-09-14T14:10:28Z</dcterms:modified>
</cp:coreProperties>
</file>